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 activeTab="2"/>
  </bookViews>
  <sheets>
    <sheet name="учреждения" sheetId="1" r:id="rId1"/>
    <sheet name="предприятия" sheetId="3" r:id="rId2"/>
    <sheet name="казна района" sheetId="5" r:id="rId3"/>
    <sheet name="земельные участки" sheetId="6" r:id="rId4"/>
    <sheet name="акции " sheetId="10" r:id="rId5"/>
  </sheets>
  <calcPr calcId="125725"/>
</workbook>
</file>

<file path=xl/calcChain.xml><?xml version="1.0" encoding="utf-8"?>
<calcChain xmlns="http://schemas.openxmlformats.org/spreadsheetml/2006/main">
  <c r="I111" i="1"/>
  <c r="H111"/>
  <c r="G111"/>
  <c r="F111"/>
  <c r="C111"/>
  <c r="C108"/>
  <c r="G108"/>
  <c r="H107"/>
  <c r="H106"/>
  <c r="H105"/>
  <c r="H104"/>
  <c r="H103"/>
  <c r="H102"/>
  <c r="H101"/>
  <c r="H100"/>
  <c r="H99"/>
  <c r="H98"/>
  <c r="H97"/>
  <c r="H96"/>
  <c r="H95"/>
  <c r="H94"/>
  <c r="H93"/>
  <c r="H92"/>
  <c r="H91"/>
  <c r="I108"/>
  <c r="F92" i="5"/>
  <c r="F261" i="3"/>
  <c r="F151"/>
  <c r="F146"/>
  <c r="F125"/>
  <c r="F110"/>
  <c r="F21"/>
  <c r="F12"/>
  <c r="G265"/>
  <c r="G92" i="5"/>
  <c r="H91"/>
  <c r="H90"/>
  <c r="H89"/>
  <c r="H88"/>
  <c r="H87"/>
  <c r="H86"/>
  <c r="H85"/>
  <c r="H84"/>
  <c r="A6" i="6"/>
  <c r="A7" s="1"/>
  <c r="A8" s="1"/>
  <c r="A9" s="1"/>
  <c r="A10" s="1"/>
  <c r="A11" s="1"/>
  <c r="A12" s="1"/>
  <c r="A13" s="1"/>
  <c r="A14" s="1"/>
  <c r="A15" s="1"/>
  <c r="A16" s="1"/>
  <c r="A5"/>
  <c r="A4"/>
  <c r="F265" i="3" l="1"/>
  <c r="C92" i="5"/>
  <c r="H83" l="1"/>
  <c r="H82"/>
  <c r="I265" i="3"/>
  <c r="H265"/>
  <c r="C265"/>
  <c r="C73" i="1"/>
  <c r="F72"/>
  <c r="H72"/>
  <c r="H71"/>
  <c r="H65"/>
  <c r="H70"/>
  <c r="H69"/>
  <c r="C12" i="3"/>
  <c r="H13" i="5" l="1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2"/>
  <c r="H61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29"/>
  <c r="H28"/>
  <c r="H27"/>
  <c r="H25"/>
  <c r="H24"/>
  <c r="H23"/>
  <c r="H22"/>
  <c r="H21"/>
  <c r="H20"/>
  <c r="H19"/>
  <c r="H18"/>
  <c r="H15"/>
  <c r="H14"/>
  <c r="H12"/>
  <c r="H11"/>
  <c r="H10"/>
  <c r="H9"/>
  <c r="H8"/>
  <c r="H7"/>
  <c r="H260" i="3" l="1"/>
  <c r="H259"/>
  <c r="H258"/>
  <c r="H257"/>
  <c r="H256"/>
  <c r="H255"/>
  <c r="H254"/>
  <c r="H253"/>
  <c r="H252"/>
  <c r="H249"/>
  <c r="H248"/>
  <c r="H247"/>
  <c r="H246"/>
  <c r="H245"/>
  <c r="H244"/>
  <c r="H241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0"/>
  <c r="H219"/>
  <c r="H218"/>
  <c r="H217"/>
  <c r="H216"/>
  <c r="H215"/>
  <c r="H214"/>
  <c r="H213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7"/>
  <c r="H186"/>
  <c r="H185"/>
  <c r="H184"/>
  <c r="H177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0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4"/>
  <c r="H123"/>
  <c r="H122"/>
  <c r="H121"/>
  <c r="H116"/>
  <c r="H115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0"/>
  <c r="H19"/>
  <c r="H18"/>
  <c r="H17"/>
  <c r="H11"/>
  <c r="H10"/>
  <c r="H9"/>
  <c r="H8"/>
  <c r="H7"/>
  <c r="H6"/>
  <c r="H151"/>
  <c r="H146"/>
  <c r="H125"/>
  <c r="H110"/>
  <c r="H21"/>
  <c r="H12"/>
  <c r="H90" i="1"/>
  <c r="H89"/>
  <c r="H88"/>
  <c r="H87"/>
  <c r="H81"/>
  <c r="H80"/>
  <c r="H79"/>
  <c r="H78"/>
  <c r="H77"/>
  <c r="H68"/>
  <c r="H67"/>
  <c r="H66"/>
  <c r="H60"/>
  <c r="H59"/>
  <c r="H53"/>
  <c r="H54" s="1"/>
  <c r="H48"/>
  <c r="H49" s="1"/>
  <c r="H43"/>
  <c r="H42"/>
  <c r="H41"/>
  <c r="H40"/>
  <c r="H35"/>
  <c r="H34"/>
  <c r="H29"/>
  <c r="H28"/>
  <c r="H27"/>
  <c r="H26"/>
  <c r="H21"/>
  <c r="H20"/>
  <c r="H14"/>
  <c r="H13"/>
  <c r="H8"/>
  <c r="H7"/>
  <c r="H73"/>
  <c r="G251" i="3"/>
  <c r="H251" s="1"/>
  <c r="F251"/>
  <c r="G110"/>
  <c r="C110"/>
  <c r="C117"/>
  <c r="C261"/>
  <c r="C15" i="1"/>
  <c r="H36" l="1"/>
  <c r="H82"/>
  <c r="H108"/>
  <c r="H15"/>
  <c r="H30"/>
  <c r="H44"/>
  <c r="H61"/>
  <c r="H22"/>
  <c r="H9"/>
  <c r="F199" i="3"/>
  <c r="G261"/>
  <c r="F255"/>
  <c r="F254"/>
  <c r="F253"/>
  <c r="F252"/>
  <c r="I250"/>
  <c r="H250" s="1"/>
  <c r="F249"/>
  <c r="I243"/>
  <c r="H243" s="1"/>
  <c r="F243"/>
  <c r="I242"/>
  <c r="F241"/>
  <c r="I240"/>
  <c r="H240" s="1"/>
  <c r="F240"/>
  <c r="I239"/>
  <c r="H239" s="1"/>
  <c r="F237"/>
  <c r="F236"/>
  <c r="F235"/>
  <c r="F234"/>
  <c r="F231"/>
  <c r="F230"/>
  <c r="F228"/>
  <c r="F227"/>
  <c r="F223"/>
  <c r="I221"/>
  <c r="H221" s="1"/>
  <c r="F221"/>
  <c r="F220"/>
  <c r="F218"/>
  <c r="F217"/>
  <c r="F216"/>
  <c r="F213"/>
  <c r="I212"/>
  <c r="H212" s="1"/>
  <c r="F212"/>
  <c r="F211"/>
  <c r="F209"/>
  <c r="F207"/>
  <c r="F205"/>
  <c r="F198"/>
  <c r="F197"/>
  <c r="F195"/>
  <c r="F193"/>
  <c r="F190"/>
  <c r="I188"/>
  <c r="H188" s="1"/>
  <c r="F187"/>
  <c r="F185"/>
  <c r="F184"/>
  <c r="I183"/>
  <c r="H183" s="1"/>
  <c r="I182"/>
  <c r="H182" s="1"/>
  <c r="I181"/>
  <c r="H181" s="1"/>
  <c r="I180"/>
  <c r="H180" s="1"/>
  <c r="F180"/>
  <c r="I179"/>
  <c r="H179" s="1"/>
  <c r="F179"/>
  <c r="I178"/>
  <c r="H178" s="1"/>
  <c r="F178"/>
  <c r="I176"/>
  <c r="H176" s="1"/>
  <c r="I175"/>
  <c r="H175" s="1"/>
  <c r="F175"/>
  <c r="I174"/>
  <c r="H174" s="1"/>
  <c r="F173"/>
  <c r="F171"/>
  <c r="F169"/>
  <c r="F165"/>
  <c r="F163"/>
  <c r="F162"/>
  <c r="F160"/>
  <c r="G146"/>
  <c r="C146"/>
  <c r="C125"/>
  <c r="G12"/>
  <c r="F63" i="5"/>
  <c r="F60"/>
  <c r="G63"/>
  <c r="H63" s="1"/>
  <c r="I60"/>
  <c r="G60"/>
  <c r="I35"/>
  <c r="H35" s="1"/>
  <c r="I34"/>
  <c r="G34"/>
  <c r="I33"/>
  <c r="H33" s="1"/>
  <c r="I32"/>
  <c r="H32" s="1"/>
  <c r="I31"/>
  <c r="H31" s="1"/>
  <c r="I30"/>
  <c r="H30" s="1"/>
  <c r="I26"/>
  <c r="H26" s="1"/>
  <c r="I17"/>
  <c r="H17" s="1"/>
  <c r="I16"/>
  <c r="H16" s="1"/>
  <c r="I146" i="3"/>
  <c r="G125"/>
  <c r="I151"/>
  <c r="G151"/>
  <c r="I21"/>
  <c r="G21"/>
  <c r="C21"/>
  <c r="I125"/>
  <c r="I117"/>
  <c r="I110"/>
  <c r="I12"/>
  <c r="I82" i="1"/>
  <c r="G82"/>
  <c r="C82"/>
  <c r="I73"/>
  <c r="G73"/>
  <c r="G61"/>
  <c r="C61"/>
  <c r="I61"/>
  <c r="I54"/>
  <c r="G54"/>
  <c r="I49"/>
  <c r="G49"/>
  <c r="I44"/>
  <c r="G44"/>
  <c r="C44"/>
  <c r="H34" i="5" l="1"/>
  <c r="I92"/>
  <c r="H92"/>
  <c r="H60"/>
  <c r="I261" i="3"/>
  <c r="H242"/>
  <c r="H261"/>
  <c r="I36" i="1"/>
  <c r="G36"/>
  <c r="C36"/>
  <c r="I30"/>
  <c r="G30"/>
  <c r="C30"/>
  <c r="C22"/>
  <c r="I22"/>
  <c r="G22"/>
  <c r="C9"/>
  <c r="I15" l="1"/>
  <c r="G15"/>
  <c r="I9"/>
  <c r="G9"/>
  <c r="G114" i="3"/>
  <c r="F114"/>
  <c r="G117" l="1"/>
  <c r="H114"/>
  <c r="H117" s="1"/>
</calcChain>
</file>

<file path=xl/sharedStrings.xml><?xml version="1.0" encoding="utf-8"?>
<sst xmlns="http://schemas.openxmlformats.org/spreadsheetml/2006/main" count="2259" uniqueCount="950">
  <si>
    <t>СПИСОК ОБЪЕКТОВ НЕДВИЖИМОСТИ</t>
  </si>
  <si>
    <t>Рег.номер</t>
  </si>
  <si>
    <t>Наименование</t>
  </si>
  <si>
    <t>Описание</t>
  </si>
  <si>
    <t>Адрес</t>
  </si>
  <si>
    <t>Год вв.</t>
  </si>
  <si>
    <t>Площадь</t>
  </si>
  <si>
    <t>Бал.стоим.</t>
  </si>
  <si>
    <t>Ост.стоим.</t>
  </si>
  <si>
    <t>000200001</t>
  </si>
  <si>
    <t>Здание администрации</t>
  </si>
  <si>
    <t>Административное</t>
  </si>
  <si>
    <t>Россия, 182300, Псковская обл., Пустошкинский р-н, , Пустошка г, Революции ул, 39</t>
  </si>
  <si>
    <t>Гараж</t>
  </si>
  <si>
    <t>Вспомогательное</t>
  </si>
  <si>
    <t>000200003</t>
  </si>
  <si>
    <t>Россия, 182300, Псковская обл., Пустошкинский р-н, , Пустошка г, Октябрьская ул, 61</t>
  </si>
  <si>
    <t>Шахтный колодец с водопроводом</t>
  </si>
  <si>
    <t>Производственное</t>
  </si>
  <si>
    <t xml:space="preserve">Россия, , Псковская обл., Пустошкинский р-н, ,Алольская вол, Лобачи д, , </t>
  </si>
  <si>
    <t>002300001</t>
  </si>
  <si>
    <t>Здание школы</t>
  </si>
  <si>
    <t>Россия, 182300, Псковская обл., Пустошкинский р-н, , Пустошка г, Революции ул, 59</t>
  </si>
  <si>
    <t>002300002</t>
  </si>
  <si>
    <t>Здание библиотеки</t>
  </si>
  <si>
    <t>Жилой фонд</t>
  </si>
  <si>
    <t>Россия, 182300, Псковская обл., Пустошкинский р-н, , Пустошка г, Первомайская ул, 21</t>
  </si>
  <si>
    <t>002300003</t>
  </si>
  <si>
    <t>Здание интерната</t>
  </si>
  <si>
    <t>Россия, 182300, Псковская обл., Пустошкинский р-н, , Пустошка г, Первомайская ул, 25а</t>
  </si>
  <si>
    <t>000100001</t>
  </si>
  <si>
    <t>Россия, 182303, Псковская обл., Пустошкинский р-н, Алольская, Вербилово д, ,</t>
  </si>
  <si>
    <t>000100003</t>
  </si>
  <si>
    <t>Сарай</t>
  </si>
  <si>
    <t>002000001</t>
  </si>
  <si>
    <t>Россия, 182327, Псковская обл., Пустошкинский р-н, Гультяевская вол, Гультяи д, ,</t>
  </si>
  <si>
    <t>002000003</t>
  </si>
  <si>
    <t>Жилой дом</t>
  </si>
  <si>
    <t>жилой дом</t>
  </si>
  <si>
    <t>002100001</t>
  </si>
  <si>
    <t>Россия, 182321, Псковская обл., Пустошкинский р-н, Забельская вол, Забелье д, ,</t>
  </si>
  <si>
    <t>002100002</t>
  </si>
  <si>
    <t>002100003</t>
  </si>
  <si>
    <t>Миниферма</t>
  </si>
  <si>
    <t>002100008</t>
  </si>
  <si>
    <t>Встроенные помещения детского сада</t>
  </si>
  <si>
    <t>Россия, 182321, Псковская обл., Пустошкинский р-н, Забельская вол, Забелевица д, ,</t>
  </si>
  <si>
    <t>002200002</t>
  </si>
  <si>
    <t>Россия, 182313, Псковская обл., Пустошкинский р-н, Щукинская вол, Красное д, ,</t>
  </si>
  <si>
    <t>002200004</t>
  </si>
  <si>
    <t>Россия, 182314, Псковская обл., Пустошкинский р-н, Щукинская вол, Щукино д, ,</t>
  </si>
  <si>
    <t>Россия, 182315, Псковская обл., Пустошкинский р-н, Пригородная вол, Сергейцево д, ,</t>
  </si>
  <si>
    <t>Здание мастерской</t>
  </si>
  <si>
    <t>Кладовка</t>
  </si>
  <si>
    <t>Сарай для дров</t>
  </si>
  <si>
    <t>Здание для шестилеток, столовая</t>
  </si>
  <si>
    <t>003400001</t>
  </si>
  <si>
    <t>Здание д/сада</t>
  </si>
  <si>
    <t>Россия, 182300, Псковская обл., Пустошкинский р-н, , Пустошка г, Октябрьская ул, 20</t>
  </si>
  <si>
    <t>003300001</t>
  </si>
  <si>
    <t>Россия, 182300, Псковская обл., Пустошкинский р-н, , Пустошка г, Октябрьская ул, 41а</t>
  </si>
  <si>
    <t>003600001</t>
  </si>
  <si>
    <t>Здание юного техника</t>
  </si>
  <si>
    <t>Россия, 182300, Псковская обл., Пустошкинский р-н, , Пустошка г, Т. Птичкиной ул, 4а</t>
  </si>
  <si>
    <t>003600004</t>
  </si>
  <si>
    <t>Россия, 182300, Псковская обл., Пустошкинский р-н, , Пустошка г, Т. Птичкиной ул, 2б</t>
  </si>
  <si>
    <t>003700002</t>
  </si>
  <si>
    <t>Сауна</t>
  </si>
  <si>
    <t>003700003</t>
  </si>
  <si>
    <t>Универсальный спортзал</t>
  </si>
  <si>
    <t>Россия, 182300, Псковская обл., Пустошкинский р-н, , Пустошка г, Октябрьская ул, 34а</t>
  </si>
  <si>
    <t>003700004</t>
  </si>
  <si>
    <t>Стадион</t>
  </si>
  <si>
    <t xml:space="preserve">Россия, 182300, Псковская обл., Пустошкинский р-н, , Пустошка г, Т. Птичкиной ул, </t>
  </si>
  <si>
    <t>003700005</t>
  </si>
  <si>
    <t>Площадка для мини-футбола</t>
  </si>
  <si>
    <t>Здание районной библиотеки</t>
  </si>
  <si>
    <t>Россия, 182300, Псковская обл., Пустошкинский р-н, , Пустошка г, Октябрьская ул, 31</t>
  </si>
  <si>
    <t>Гаражи</t>
  </si>
  <si>
    <t>Россия, 182300, Псковская обл., Пустошкинский р-н, , Пустошка г, Революции ул,</t>
  </si>
  <si>
    <t>Встроенное помещение в здании Ясского сельского клуба</t>
  </si>
  <si>
    <t>Россия, 182302, Псковская обл., Пустошкинский р-н, , Алольская вол, Яссы д, ,</t>
  </si>
  <si>
    <t>Встроенное помещение в здании Бессоновской волости</t>
  </si>
  <si>
    <t>Россия, 182323, Псковская обл., Пустошкинский р-н, Забельская вол, Чурилово д,</t>
  </si>
  <si>
    <t>Часть здания Поддубской сельской библиотеки</t>
  </si>
  <si>
    <t>Россия, 182306, Псковская обл., Пустошкинский р-н, , Алольская вол, Поддубье д, ,</t>
  </si>
  <si>
    <t>Встроенное помещение в здании Гультяевского сельского Дома культуры</t>
  </si>
  <si>
    <t>Россия, 182327, Псковская обл., Пустошкинский р-н, , Гультяевская вол, Гультяи д,</t>
  </si>
  <si>
    <t>Встроенное помещение в здании Забельского сельского Дома культуры</t>
  </si>
  <si>
    <t>Встроенное помещение в здании Шалаховского сельского Дома культуры</t>
  </si>
  <si>
    <t>Россия, 182317, Псковская обл., Пустошкинский р-н, , Гультяевская вол, Шалахово д, ,</t>
  </si>
  <si>
    <t>Россия, 182314, Псковская обл., Пустошкинский р-н, , Щукинская вол, Щукино д, ,</t>
  </si>
  <si>
    <t>Квартира</t>
  </si>
  <si>
    <t>Жилое</t>
  </si>
  <si>
    <t>004800001</t>
  </si>
  <si>
    <t>Здание</t>
  </si>
  <si>
    <t>Россия, 182300, Псковская обл., Пустошкинский р-н, , Пустошка г , Октябрьская ул, 55</t>
  </si>
  <si>
    <t>004800002</t>
  </si>
  <si>
    <t>Здание детских яслей</t>
  </si>
  <si>
    <t>Россия, 182300, Псковская обл., Пустошкинский р-н, , Пустошка г , Комсомольская ул, 9 д</t>
  </si>
  <si>
    <t>004800003</t>
  </si>
  <si>
    <t>Сарай - конюшня</t>
  </si>
  <si>
    <t>004800004</t>
  </si>
  <si>
    <t>Сарай для игрушек</t>
  </si>
  <si>
    <t>004800005</t>
  </si>
  <si>
    <t>Хореографический класс</t>
  </si>
  <si>
    <t>005100001</t>
  </si>
  <si>
    <t>Здание районного Дома культуры</t>
  </si>
  <si>
    <t>005100002</t>
  </si>
  <si>
    <t>Здание историко-краеведческого музея</t>
  </si>
  <si>
    <t>Россия, 182300, Псковская обл., Пустошкинский р-н, , Пустошка г , Т.Птичкиной ул, 10</t>
  </si>
  <si>
    <t>005100003</t>
  </si>
  <si>
    <t>005100004</t>
  </si>
  <si>
    <t>005100006</t>
  </si>
  <si>
    <t>Россия, 182300, Псковская обл., Пустошкинский р-н, , Пустошка г , Литвиненко ул, 36 кв.18-5</t>
  </si>
  <si>
    <t>005100007</t>
  </si>
  <si>
    <t>Здание Алольского сельского Дома культуры</t>
  </si>
  <si>
    <t>Россия, 182303, Псковская обл., Пустошкинский р-н, , Алольская вол, Алоль д, ,</t>
  </si>
  <si>
    <t>005100009</t>
  </si>
  <si>
    <t>Встроенное помещение в здании Поддубской сельской библиотеки</t>
  </si>
  <si>
    <t>005100010</t>
  </si>
  <si>
    <t>Часть здания Гультяевского сельского дома культуры</t>
  </si>
  <si>
    <t>Россия, 182327, Псковская обл., Пустошкинский р-н, , Гультяевская вол, Гультяи д, ,</t>
  </si>
  <si>
    <t>005100012</t>
  </si>
  <si>
    <t>Часть здания Забельского сельского Дома культуры</t>
  </si>
  <si>
    <t>Россия, 182321, Псковская обл., Пустошкинский р-н, , Забельская вол, Забелевица д, ,</t>
  </si>
  <si>
    <t>005100020</t>
  </si>
  <si>
    <t>Часть здания Шалаховского сельского Дома культуры</t>
  </si>
  <si>
    <t>005100021</t>
  </si>
  <si>
    <t>Здание Щукинского сельского Дома культуры</t>
  </si>
  <si>
    <t>005100022</t>
  </si>
  <si>
    <t>Туалет</t>
  </si>
  <si>
    <t>Россия, 182300, Псковская обл., Пустошкинский р-н, , Пустошка г, Октябрьская ул, 10</t>
  </si>
  <si>
    <t>Встроенное помещение в здании Поддубской библиотеки</t>
  </si>
  <si>
    <t>Здание бывшего детского сада</t>
  </si>
  <si>
    <t>Россия, 182300, Псковская обл., Пустошкинский р-н, , Пустошка г, Октябрьская ул, 41</t>
  </si>
  <si>
    <t>Теплотрасса</t>
  </si>
  <si>
    <t>001300001</t>
  </si>
  <si>
    <t>Здание гостиницы</t>
  </si>
  <si>
    <t>Россия, 182300, Псковская обл., Пустошкинский р-н, , Пустошка г, Октябрьская ул, 57</t>
  </si>
  <si>
    <t>001300002</t>
  </si>
  <si>
    <t>Россия, 182300, Псковская обл., Пустошкинский р-н, , Пустошка г, Советская ул, 13</t>
  </si>
  <si>
    <t>001300003</t>
  </si>
  <si>
    <t>Здание бани</t>
  </si>
  <si>
    <t>Россия, 182300, Псковская обл., Пустошкинский р-н, , Пустошка г, Революции ул, 10</t>
  </si>
  <si>
    <t>001300004</t>
  </si>
  <si>
    <t>База - гараж</t>
  </si>
  <si>
    <t>Россия, 182300, Псковская обл., Пустошкинский р-н, , Пустошка г, Железнодорожная ул, 7а</t>
  </si>
  <si>
    <t>001300005</t>
  </si>
  <si>
    <t>Гараж на 6 автомашин</t>
  </si>
  <si>
    <t>Водопровод по ул. Пригородной</t>
  </si>
  <si>
    <t>Россия, 182300, Псковская обл., Пустошкинский р-н, , Пустошка г, Пригородная ул,</t>
  </si>
  <si>
    <t>Водопровод по ул. Связи</t>
  </si>
  <si>
    <t xml:space="preserve">Россия, 182300, Псковская обл., Пустошкинский р-н, , Пустошка г, Связи ул, </t>
  </si>
  <si>
    <t>Водопровод по ул. Октябрьской, Революции</t>
  </si>
  <si>
    <t>Россия, 182300, Псковская обл., Пустошкинский р-н, , Пустошка г, Октябрьская ул,</t>
  </si>
  <si>
    <t>Водопровод по ул. Революции, Мира</t>
  </si>
  <si>
    <t>Водопровод по ул. Революции</t>
  </si>
  <si>
    <t>Водопровод по пер. Колпинский</t>
  </si>
  <si>
    <t>Россия, 182300, Псковская обл., Пустошкинский р-н, , Пустошка г, Колпинский пер,</t>
  </si>
  <si>
    <t>Водопровод по ул. Пионерская</t>
  </si>
  <si>
    <t>Россия, 182300, Псковская обл., Пустошкинский р-н, , Пустошка г, Пионерская ул,</t>
  </si>
  <si>
    <t>Водопровод по ул. Арбузова</t>
  </si>
  <si>
    <t xml:space="preserve">Россия, 182300, Псковская обл., Пустошкинский р-н, , Пустошка г, Арбузова ул, </t>
  </si>
  <si>
    <t>Водопровод по ул. Мира</t>
  </si>
  <si>
    <t>Россия, 182300, Псковская обл., Пустошкинский р-н, , Пустошка г, Мира ул,</t>
  </si>
  <si>
    <t>Водопровод по ул. Октябрьской д.33,34,34а,37,39,41</t>
  </si>
  <si>
    <t>Россия, 182300, Псковская обл., Пустошкинский р-н, , Пустошка г, Октябрьской ул,</t>
  </si>
  <si>
    <t>Водопровод ПМК-18</t>
  </si>
  <si>
    <t xml:space="preserve">Россия, 182300, Псковская обл., Пустошкинский р-н, , Пустошка г, Октябрьская ул, </t>
  </si>
  <si>
    <t>Водопровод по ул. Пушкинская</t>
  </si>
  <si>
    <t>Россия, 182300, Псковская обл., Пустошкинский р-н, , Пустошка г, Пушкинская ул,</t>
  </si>
  <si>
    <t>Водопровод по ул. Больничной</t>
  </si>
  <si>
    <t>Россия, 182300, Псковская обл., Пустошкинский р-н, , Пустошка г, Больничная ул,</t>
  </si>
  <si>
    <t>Водопровод по ул. Юбилейная</t>
  </si>
  <si>
    <t xml:space="preserve">Россия, 182300, Псковская обл., Пустошкинский р-н, , Пустошка г, Юбилейная ул, </t>
  </si>
  <si>
    <t>Водопровод по ул. Литвиненко</t>
  </si>
  <si>
    <t>Россия, 182300, Псковская обл., Пустошкинский р-н, , Пустошка г, Литвиненко ул,</t>
  </si>
  <si>
    <t>Водопровод по ул. Западная, Луначарского</t>
  </si>
  <si>
    <t>Россия, 182300, Псковская обл., Пустошкинский р-н, , Пустошка г, Западная ул,</t>
  </si>
  <si>
    <t>Водонапорная башня по ул.Октябрьская, зд. насосной</t>
  </si>
  <si>
    <t>Россия, 182300, Псковская обл., Пустошкинский р-н, , Пустошка г, Октябрьская ул, 31а</t>
  </si>
  <si>
    <t>Водонапорная башня по ул.Первомайская</t>
  </si>
  <si>
    <t>Россия, 182300, Псковская обл., Пустошкинский р-н, , Пустошка г, Первомайская ул,</t>
  </si>
  <si>
    <t>Водонапорная башня ИПС</t>
  </si>
  <si>
    <t>Россия, 182300, Псковская обл., Пустошкинский р-н, , Пустошка г, ИПС ул,</t>
  </si>
  <si>
    <t>Контора по ул. Птичкиной</t>
  </si>
  <si>
    <t>Россия, 182300, Псковская обл., Пустошкинский р-н, , Пустошка г, Т.Птичкиной ул, 32а</t>
  </si>
  <si>
    <t>Здание насосной по ул. Труда</t>
  </si>
  <si>
    <t>Россия, 182300, Псковская обл., Пустошкинский р-н, , Пустошка г, Труда ул,</t>
  </si>
  <si>
    <t>Артскважина по ул.Луначарского</t>
  </si>
  <si>
    <t>Россия, 182300, Псковская обл., Пустошкинский р-н, , Пустошка г, Луначарского ул,</t>
  </si>
  <si>
    <t>Артскважина, здание насосной по ул. Октябрьская</t>
  </si>
  <si>
    <t>Артскважина РАЙПО</t>
  </si>
  <si>
    <t>Канализационная сеть ПМК-18</t>
  </si>
  <si>
    <t xml:space="preserve">Центральная канализационная сеть </t>
  </si>
  <si>
    <t>Коллектор "Агросервис"</t>
  </si>
  <si>
    <t>Очисные сооружения канализации</t>
  </si>
  <si>
    <t>Коллектор с КНС по ул. Мира</t>
  </si>
  <si>
    <t xml:space="preserve">Россия, 182300, Псковская обл., Пустошкинский р-н, , Пустошка г, Мира ул, </t>
  </si>
  <si>
    <t>Артскважина "Порубежье"</t>
  </si>
  <si>
    <t>КНС по ул. Офицерская</t>
  </si>
  <si>
    <t>Россия, 182300, Псковская обл., Пустошкинский р-н, , Пустошка г, Офицерская ул,</t>
  </si>
  <si>
    <t>КНС по ул. Октябрьской д.33,34,34а,37,39,41</t>
  </si>
  <si>
    <t>КНС от ул. Литвиненко д.23 до ул. Мира</t>
  </si>
  <si>
    <t xml:space="preserve">Водонапорная башня </t>
  </si>
  <si>
    <t>Россия, 182300, Псковская обл., Пустошкинский р-н, , Пустошка г, Советская ул,</t>
  </si>
  <si>
    <t>Артезианская скважина ст.Пустошка</t>
  </si>
  <si>
    <t xml:space="preserve">Россия, 182300, Псковская обл., Пустошкинский р-н, , Пустошка г, , </t>
  </si>
  <si>
    <t>Разводящая сеть ул.Советская, ул.Революции, ул.Северная, ул.Вокзальная</t>
  </si>
  <si>
    <t>Артезианская скважина ст.Забелье</t>
  </si>
  <si>
    <t>Россия, 182300, Псковская обл., Пустошкинский р-н, , Забельская вол, Забелье д,</t>
  </si>
  <si>
    <t>Колодец питьевой 542 км</t>
  </si>
  <si>
    <t>Россия, 182300, Псковская обл., Пустошкинский р-н, , , ,</t>
  </si>
  <si>
    <t>Участок канализации с 2-мя колодцами от ж.дома 53/28</t>
  </si>
  <si>
    <t>Участок канализации с 2-мя колодцами от ж.дома 54 по ул. Октябрьской</t>
  </si>
  <si>
    <t>001500001</t>
  </si>
  <si>
    <t>Здание котельной № 9</t>
  </si>
  <si>
    <t>001500002</t>
  </si>
  <si>
    <t>Здание котельной № 10</t>
  </si>
  <si>
    <t>Россия, 182300, Псковская обл., Пустошкинский р-н, , Пустошка г, ,</t>
  </si>
  <si>
    <t>001500003</t>
  </si>
  <si>
    <t>Здание котельной № 6</t>
  </si>
  <si>
    <t>001500004</t>
  </si>
  <si>
    <t>Пристройка к котельной № 6</t>
  </si>
  <si>
    <t>64/2</t>
  </si>
  <si>
    <t>001500005</t>
  </si>
  <si>
    <t>Здание котельной № 12</t>
  </si>
  <si>
    <t>001500006</t>
  </si>
  <si>
    <t>Склад угля</t>
  </si>
  <si>
    <t>001500007</t>
  </si>
  <si>
    <t>Здание котельной</t>
  </si>
  <si>
    <t>Россия, 182303, Псковская обл., Пустошкинский р-н, Алольская вол, Вербилово д, ,</t>
  </si>
  <si>
    <t>001500008</t>
  </si>
  <si>
    <t>001500009</t>
  </si>
  <si>
    <t>001500010</t>
  </si>
  <si>
    <t>001500011</t>
  </si>
  <si>
    <t>001500012</t>
  </si>
  <si>
    <t>Здание гаража</t>
  </si>
  <si>
    <t>Россия, 182300, Псковская обл., Пустошкинский р-н, , Пустошка г, Пионерская ул, 17-а</t>
  </si>
  <si>
    <t>001500013</t>
  </si>
  <si>
    <t>001500015</t>
  </si>
  <si>
    <t>Труба дымовая</t>
  </si>
  <si>
    <t>001500017</t>
  </si>
  <si>
    <t>Территория котельной</t>
  </si>
  <si>
    <t>5265/5670</t>
  </si>
  <si>
    <t>001500019</t>
  </si>
  <si>
    <t>Дымовая труба</t>
  </si>
  <si>
    <t>001500020</t>
  </si>
  <si>
    <t>001500021</t>
  </si>
  <si>
    <t>Теплотрасса 2-х трубная</t>
  </si>
  <si>
    <t>001500022</t>
  </si>
  <si>
    <t>001500023</t>
  </si>
  <si>
    <t>Теплотрасса 4-х трубная</t>
  </si>
  <si>
    <t>001500024</t>
  </si>
  <si>
    <t>Россия, 182300, Псковская обл., Пустошкинский р-н, , Пустошка г, Октябрьская ул, к д.41</t>
  </si>
  <si>
    <t>001500025</t>
  </si>
  <si>
    <t>Россия, 182300, Псковская обл., Пустошкинский р-н, , Пустошка г, Октябрьская ул, к д.34а</t>
  </si>
  <si>
    <t>001500026</t>
  </si>
  <si>
    <t>Россия, 182300, Псковская обл., Пустошкинский р-н, , Пустошка г, Октябрьская ул, к д.37</t>
  </si>
  <si>
    <t>001500027</t>
  </si>
  <si>
    <t>Россия, 182300, Псковская обл., Пустошкинский р-н, , Пустошка г, Октябрьская ул, к д.35</t>
  </si>
  <si>
    <t>001500028</t>
  </si>
  <si>
    <t>Россия, 182300, Псковская обл., Пустошкинский р-н, , Пустошка г, Октябрьская ул, к д.33</t>
  </si>
  <si>
    <t>001500029</t>
  </si>
  <si>
    <t>001500030</t>
  </si>
  <si>
    <t>001500031</t>
  </si>
  <si>
    <t>001500032</t>
  </si>
  <si>
    <t>Россия, 182300, Псковская обл., Пустошкинский р-н, , Пустошка г, Октябрьская ул, к д.34</t>
  </si>
  <si>
    <t>001500033</t>
  </si>
  <si>
    <t>001500034</t>
  </si>
  <si>
    <t>001500035</t>
  </si>
  <si>
    <t xml:space="preserve">Теплотрасса </t>
  </si>
  <si>
    <t>001500036</t>
  </si>
  <si>
    <t>001500037</t>
  </si>
  <si>
    <t>001500038</t>
  </si>
  <si>
    <t>001500039</t>
  </si>
  <si>
    <t>001500041</t>
  </si>
  <si>
    <t>001500042</t>
  </si>
  <si>
    <t>001500043</t>
  </si>
  <si>
    <t>Административное здание</t>
  </si>
  <si>
    <t>001500044</t>
  </si>
  <si>
    <t>Нежилое помещение (гараж)</t>
  </si>
  <si>
    <t>001500045</t>
  </si>
  <si>
    <t>001900001</t>
  </si>
  <si>
    <t xml:space="preserve">Административное </t>
  </si>
  <si>
    <t>Россия, 182300, Псковская обл., Пустошкинский р-н, , Пустошка г, Революции ул, 20</t>
  </si>
  <si>
    <t>001600001</t>
  </si>
  <si>
    <t>Здание аптеки</t>
  </si>
  <si>
    <t>001600003</t>
  </si>
  <si>
    <t>001600004</t>
  </si>
  <si>
    <t>Нежилое помещение № 1008 в здании гостиницы</t>
  </si>
  <si>
    <t>001700001</t>
  </si>
  <si>
    <t>Здание типографии</t>
  </si>
  <si>
    <t>Россия, 182300, Псковская обл., Пустошкинский р-н, , Пустошка г, Октябрьская ул, 36</t>
  </si>
  <si>
    <t>001700002</t>
  </si>
  <si>
    <t>001700003</t>
  </si>
  <si>
    <t>Гараж и склад макулатуры</t>
  </si>
  <si>
    <t>001400001</t>
  </si>
  <si>
    <t>Здание павильона</t>
  </si>
  <si>
    <t>Россия, 182300, Псковская обл., Пустошкинский р-н, , Пустошка г, Т.Птичкиной ул, 27</t>
  </si>
  <si>
    <t>001400002</t>
  </si>
  <si>
    <t>001400003</t>
  </si>
  <si>
    <t>Гараж и склад</t>
  </si>
  <si>
    <t>001400004</t>
  </si>
  <si>
    <t>Здание рынка</t>
  </si>
  <si>
    <t>Россия, 182300, Псковская обл., Пустошкинский р-н, , Пустошка г, Т.Птичкиной ул,</t>
  </si>
  <si>
    <t>001800001</t>
  </si>
  <si>
    <t>Здание конторы</t>
  </si>
  <si>
    <t>Россия, 182300, Псковская обл., Пустошкинский р-н, , Пустошка г, Спортивный пер, 16</t>
  </si>
  <si>
    <t>001800002</t>
  </si>
  <si>
    <t>Здание пекарни</t>
  </si>
  <si>
    <t>001800003</t>
  </si>
  <si>
    <t>Пристройка к цеху</t>
  </si>
  <si>
    <t>001800004</t>
  </si>
  <si>
    <t>Здание столовой</t>
  </si>
  <si>
    <t>001800005</t>
  </si>
  <si>
    <t>Мучной склад</t>
  </si>
  <si>
    <t>001800006</t>
  </si>
  <si>
    <t>Здание магазина № 5</t>
  </si>
  <si>
    <t>Россия, 182300, Псковская обл., Пустошкинский р-н, , Пустошка г, Литвиненко ул, 32а</t>
  </si>
  <si>
    <t>001800007</t>
  </si>
  <si>
    <t>Павильон № 2</t>
  </si>
  <si>
    <t>Россия, 182300, Псковская обл., Пустошкинский р-н, , Пустошка г, Московское шоссе ул,</t>
  </si>
  <si>
    <t>001800008</t>
  </si>
  <si>
    <t>Проходная</t>
  </si>
  <si>
    <t>001800009</t>
  </si>
  <si>
    <t>Хоз. сарай</t>
  </si>
  <si>
    <t>001800011</t>
  </si>
  <si>
    <t>Здание магазина № 3</t>
  </si>
  <si>
    <t>001800012</t>
  </si>
  <si>
    <t>Здание магазина № 4</t>
  </si>
  <si>
    <t>Россия, 182300, Псковская обл., Пустошкинский р-н, , Пустошка г, Заречная ул, 23а</t>
  </si>
  <si>
    <t>001800013</t>
  </si>
  <si>
    <t>Дорога-площадка</t>
  </si>
  <si>
    <t>001800014</t>
  </si>
  <si>
    <t>Забор ограждающий деревянный</t>
  </si>
  <si>
    <t>001800015</t>
  </si>
  <si>
    <t>001800016</t>
  </si>
  <si>
    <t>Наружные водопроводные сети</t>
  </si>
  <si>
    <t>001800017</t>
  </si>
  <si>
    <t xml:space="preserve">Здание магазина № 1 </t>
  </si>
  <si>
    <t>Россия, 182300, Псковская обл., Пустошкинский р-н, , Пустошка г, Революции ул, ,</t>
  </si>
  <si>
    <t>001800018</t>
  </si>
  <si>
    <t>Забор - ворота</t>
  </si>
  <si>
    <t>999900001</t>
  </si>
  <si>
    <t>Здание бывшего красного уголка</t>
  </si>
  <si>
    <t>Россия, 182300, Псковская обл., Пустошкинский р-н, , Пустошка г, Революции ул, 87</t>
  </si>
  <si>
    <t>Россия, 182300, Псковская обл., Пустошкинский р-н, , Пустошка г, Комсомольская ул, 9</t>
  </si>
  <si>
    <t>999900010</t>
  </si>
  <si>
    <t>Россия, 182303, Псковская обл., Пустошкинский р-н, Алольская вол, Алоль д, ,</t>
  </si>
  <si>
    <t>999900011</t>
  </si>
  <si>
    <t>Баня</t>
  </si>
  <si>
    <t>999900012</t>
  </si>
  <si>
    <t>Здание 2-этажное кирпичное</t>
  </si>
  <si>
    <t>999900013</t>
  </si>
  <si>
    <t>Здание 1-этажное кирпичное</t>
  </si>
  <si>
    <t>999900014</t>
  </si>
  <si>
    <t>Склад бутовый кирпичный</t>
  </si>
  <si>
    <t>999900021</t>
  </si>
  <si>
    <t>999900022</t>
  </si>
  <si>
    <t>999900030</t>
  </si>
  <si>
    <t>999900033</t>
  </si>
  <si>
    <t>Водопровод с башней</t>
  </si>
  <si>
    <t>Россия, 182303, Псковская обл., Пустошкинский р-н, Алольская вол, Ночлегово д, ,</t>
  </si>
  <si>
    <t>999900035</t>
  </si>
  <si>
    <t>Очистные сооружения</t>
  </si>
  <si>
    <t>Россия, 182327, Псковская обл., Пустошкинский р-н, Гультяевская вол. Гультяи д, ,</t>
  </si>
  <si>
    <t>999900038</t>
  </si>
  <si>
    <t>Россия, 182300, Псковская обл., Пустошкинский р-н, , Пустошка г, Железнодорожная ул, 28 кв.2</t>
  </si>
  <si>
    <t>999900039</t>
  </si>
  <si>
    <t>Россия, 182300, Псковская обл., Пустошкинский р-н, , Пустошка г, Мира ул, 7</t>
  </si>
  <si>
    <t>999900040</t>
  </si>
  <si>
    <t>Россия, 182300, Псковская обл., Пустошкинский р-н, , Пустошка г, Железнодорожный пер, 7 кв.2</t>
  </si>
  <si>
    <t>999900041</t>
  </si>
  <si>
    <t>Россия, 182300, Псковская обл., Пустошкинский р-н, , Пустошка г, Железнодорожный пер, 9 кв.1</t>
  </si>
  <si>
    <t>Россия, 182300, Псковская обл., Пустошкинский р-н, , Пустошка г, Железнодорожный пер, 9 кв.2</t>
  </si>
  <si>
    <t>999900042</t>
  </si>
  <si>
    <t>Россия, 182300, Псковская обл., Пустошкинский р-н, , Пустошка г, Строителей пер, 14</t>
  </si>
  <si>
    <t>999900045</t>
  </si>
  <si>
    <t>Россия, 182300, Псковская обл., Пустошкинский р-н, , Пустошка г, Загородная ул, 3</t>
  </si>
  <si>
    <t>999900046</t>
  </si>
  <si>
    <t>Россия, 182300, Псковская обл., Пустошкинский р-н, , Пустошка г, Загородная ул, 4</t>
  </si>
  <si>
    <t>999900050</t>
  </si>
  <si>
    <t>Россия, 182312, Псковская обл., Пустошкинский р-н, Щукинская вол, Криуха д, ,</t>
  </si>
  <si>
    <t>999900051</t>
  </si>
  <si>
    <t xml:space="preserve">Россия, 182306, Псковская обл., Пустошкинский р-н, Алольская вол. Поддубье д, , </t>
  </si>
  <si>
    <t>999900061</t>
  </si>
  <si>
    <t>Здание  интерната</t>
  </si>
  <si>
    <t>999900066</t>
  </si>
  <si>
    <t>Россия, 182320, Псковская обл., Пустошкинский р-н, Забельская вол, Мануково д, ,</t>
  </si>
  <si>
    <t>999900157</t>
  </si>
  <si>
    <t>Автодорога Идрица-Ночлегово</t>
  </si>
  <si>
    <t>Автодорога</t>
  </si>
  <si>
    <t>Россия, , Псковская обл., Пустошкинский р-н, , , ,</t>
  </si>
  <si>
    <t>999900160</t>
  </si>
  <si>
    <t>Автодорога Криуха-Волочагино</t>
  </si>
  <si>
    <t>999900161</t>
  </si>
  <si>
    <t>Автодорога Криуха-Турубино</t>
  </si>
  <si>
    <t>999900162</t>
  </si>
  <si>
    <t>Автодорога Поддубье-Васильки</t>
  </si>
  <si>
    <t>999900164</t>
  </si>
  <si>
    <t>Автодорога Рокачино-Сергеево</t>
  </si>
  <si>
    <t>999900166</t>
  </si>
  <si>
    <t>Автомобильная дорога Святец-Борки</t>
  </si>
  <si>
    <t>999900167</t>
  </si>
  <si>
    <t>Водонапорная башня</t>
  </si>
  <si>
    <t>999900168</t>
  </si>
  <si>
    <t>Россия, 182312, Псковская обл., Пустошкинский р-н, Щукинская вол, Васильки д, ,</t>
  </si>
  <si>
    <t>999900171</t>
  </si>
  <si>
    <t>Здание бывшего интерната</t>
  </si>
  <si>
    <t>Россия, 182310, Псковская обл., Пустошкинский р-н, Пригородная вол, Копылок д, ,</t>
  </si>
  <si>
    <t>999900172</t>
  </si>
  <si>
    <t>Здание бывшей мастерской</t>
  </si>
  <si>
    <t>999900176</t>
  </si>
  <si>
    <t>999900177</t>
  </si>
  <si>
    <t>Производственное здание</t>
  </si>
  <si>
    <t>Россия, 182300, Псковская обл., Пустошкинский р-н, , Пустошка г, Лесная, 2</t>
  </si>
  <si>
    <t>999900178</t>
  </si>
  <si>
    <t>Здание бытовки</t>
  </si>
  <si>
    <t>999900179</t>
  </si>
  <si>
    <t>Гараж на 4 бокса</t>
  </si>
  <si>
    <t>999900180</t>
  </si>
  <si>
    <t>999900181</t>
  </si>
  <si>
    <t>Здание столярной мастерской</t>
  </si>
  <si>
    <t>999900182</t>
  </si>
  <si>
    <t>Помещение кузницы</t>
  </si>
  <si>
    <t>999900183</t>
  </si>
  <si>
    <t>Здание конторы типографии</t>
  </si>
  <si>
    <t>Россия, 182300, Псковская обл., Пустошкинский р-н, , Пустошка г, Революции, 20</t>
  </si>
  <si>
    <t>999900184</t>
  </si>
  <si>
    <t>Склад для хранения бумаги</t>
  </si>
  <si>
    <t>999900185</t>
  </si>
  <si>
    <t>999900186</t>
  </si>
  <si>
    <t>999900187</t>
  </si>
  <si>
    <t>Россия, 182321, Псковская обл., Пустошкинский р-н, Забельская вол, Костьково д, ,</t>
  </si>
  <si>
    <t>999900188</t>
  </si>
  <si>
    <t>999900194</t>
  </si>
  <si>
    <t>Одноэтажное здание бывшего детского сада</t>
  </si>
  <si>
    <t>Россия, 182300, Псковская обл., Пустошкинский р-н, , Пустошка г, Комсомольская ул, 11</t>
  </si>
  <si>
    <t>999900195</t>
  </si>
  <si>
    <t>Россия, 182317, Псковская обл., Пустошкинский р-н, Гультяевская вол, Шалахово д, ,</t>
  </si>
  <si>
    <t>999900196</t>
  </si>
  <si>
    <t>999900197</t>
  </si>
  <si>
    <t>999900200</t>
  </si>
  <si>
    <t>999900238</t>
  </si>
  <si>
    <t>Россия, 182300, Псковская обл., Пустошкинский р-н, , Алольская вол, Алоль д, ,</t>
  </si>
  <si>
    <t>999900240</t>
  </si>
  <si>
    <t>Россия, 182323, Псковская обл., Пустошкинский р-н, Забельская вол, Костьково д, ,</t>
  </si>
  <si>
    <t>999900242</t>
  </si>
  <si>
    <t>999900243</t>
  </si>
  <si>
    <t>999900245</t>
  </si>
  <si>
    <t>Помещения в здании библиотеки</t>
  </si>
  <si>
    <t xml:space="preserve">Россия, 182312, Псковская обл., Пустошкинский р-н, , Щукинская вол, Криуха д, , </t>
  </si>
  <si>
    <t>Россия, 182300, Псковская обл., Пустошкинский р-н, , Пустошка г, Т.Птичкиной ул, 28</t>
  </si>
  <si>
    <t>999900252</t>
  </si>
  <si>
    <t>Здание сельского клуба</t>
  </si>
  <si>
    <t>Россия, 182300, Псковская обл., Пустошкинский р-н, , , Забельская вол, Алушково д, ,</t>
  </si>
  <si>
    <t>999900253</t>
  </si>
  <si>
    <t>999900254</t>
  </si>
  <si>
    <t>999900255</t>
  </si>
  <si>
    <t>999900258</t>
  </si>
  <si>
    <t>Часть здания Криухинской сельской библиотеки</t>
  </si>
  <si>
    <t>Россия, 182312, Псковская обл., Пустошкинский р-н, ,Щукинская вол , Криуха д, ,</t>
  </si>
  <si>
    <t>999900259</t>
  </si>
  <si>
    <t>Сарай дровяной</t>
  </si>
  <si>
    <t>999900260</t>
  </si>
  <si>
    <t>Часть здания Реблевской сельской библиотеки</t>
  </si>
  <si>
    <t>Россия, 182321, Псковская обл., Пустошкинский р-н, Забельская вол, Ребле д, ,</t>
  </si>
  <si>
    <t>002300004</t>
  </si>
  <si>
    <t>003700006</t>
  </si>
  <si>
    <t>003700007</t>
  </si>
  <si>
    <t>182300, Псковская обл., г.Пустошка , ул.Октябрьская , 55</t>
  </si>
  <si>
    <t>182300, Псковская обл.,  г.Пустошка , ул.Октябрьская , 55</t>
  </si>
  <si>
    <t>Итого</t>
  </si>
  <si>
    <t>Здание начальной школы - детского сада</t>
  </si>
  <si>
    <t>Всего объектов</t>
  </si>
  <si>
    <t>001500046</t>
  </si>
  <si>
    <t>001500047</t>
  </si>
  <si>
    <t>001500048</t>
  </si>
  <si>
    <t>001500049</t>
  </si>
  <si>
    <t>001500050</t>
  </si>
  <si>
    <t>001500051</t>
  </si>
  <si>
    <t>001500052</t>
  </si>
  <si>
    <t>001500053</t>
  </si>
  <si>
    <t>001500054</t>
  </si>
  <si>
    <t>001500055</t>
  </si>
  <si>
    <t>001500056</t>
  </si>
  <si>
    <t>001500057</t>
  </si>
  <si>
    <t>001500058</t>
  </si>
  <si>
    <t>001500059</t>
  </si>
  <si>
    <t>001500060</t>
  </si>
  <si>
    <t>001500061</t>
  </si>
  <si>
    <t>001500062</t>
  </si>
  <si>
    <t>001500063</t>
  </si>
  <si>
    <t>001500064</t>
  </si>
  <si>
    <t>001500065</t>
  </si>
  <si>
    <t>001500066</t>
  </si>
  <si>
    <t>001500067</t>
  </si>
  <si>
    <t>001500068</t>
  </si>
  <si>
    <t>001500069</t>
  </si>
  <si>
    <t>001500070</t>
  </si>
  <si>
    <t>001500071</t>
  </si>
  <si>
    <t>001500072</t>
  </si>
  <si>
    <t>001500073</t>
  </si>
  <si>
    <t>001500074</t>
  </si>
  <si>
    <t>001500075</t>
  </si>
  <si>
    <t>001500076</t>
  </si>
  <si>
    <t>001500077</t>
  </si>
  <si>
    <t>001500078</t>
  </si>
  <si>
    <t>001500079</t>
  </si>
  <si>
    <t>001500080</t>
  </si>
  <si>
    <t>001500081</t>
  </si>
  <si>
    <t>001500082</t>
  </si>
  <si>
    <t>001500083</t>
  </si>
  <si>
    <t>001500084</t>
  </si>
  <si>
    <t>001500085</t>
  </si>
  <si>
    <t>001500086</t>
  </si>
  <si>
    <t>001500087</t>
  </si>
  <si>
    <t>999900261</t>
  </si>
  <si>
    <t>999900262</t>
  </si>
  <si>
    <t>999900264</t>
  </si>
  <si>
    <t>Памятный знак</t>
  </si>
  <si>
    <t xml:space="preserve">Россия,182317, Псковская обл., Пустошкинский р-н, Гультяевская вол. , , </t>
  </si>
  <si>
    <t>999900265</t>
  </si>
  <si>
    <t>Нежилые помещения в здании амбулатории</t>
  </si>
  <si>
    <t xml:space="preserve">Россия,182317, Псковская обл., Пустошкинский р-н, Гультяевская вол. Шалахово д, , </t>
  </si>
  <si>
    <t>999900266</t>
  </si>
  <si>
    <t>999900267</t>
  </si>
  <si>
    <t>999900268</t>
  </si>
  <si>
    <t>999900269</t>
  </si>
  <si>
    <t>999900271</t>
  </si>
  <si>
    <t>Нежилое помещение № 1011</t>
  </si>
  <si>
    <t>Россия, 182300, Псковская обл., Пустошка г, Октябрьская ул., д.57, 1 этаж</t>
  </si>
  <si>
    <t>999900272</t>
  </si>
  <si>
    <t>Нежилое помещение № 1012</t>
  </si>
  <si>
    <t>Россия, 182300, Псковская обл., Пустошка г, Октябрьская ул., д.57, подвал</t>
  </si>
  <si>
    <t>999900273</t>
  </si>
  <si>
    <t>001300007</t>
  </si>
  <si>
    <t>Россия, 182300, Псковская обл., Пустошкинский р-н, , Пустошка г, Железнодорожная ул, 13, кв 5</t>
  </si>
  <si>
    <t>001700004</t>
  </si>
  <si>
    <t>Россия, 182300, Псковская обл., Пустошкинский р-н, , Пустошка г,Рощупкина ул, 2 кв.6</t>
  </si>
  <si>
    <t>001500088</t>
  </si>
  <si>
    <t>Участок водопровода</t>
  </si>
  <si>
    <t>Россия, 182300, Псковская обл., Пустошкинский р-н, , Пустошка г, Офицерский пер,</t>
  </si>
  <si>
    <t>999900274</t>
  </si>
  <si>
    <t>Россия, 182300, Псковская обл., Пустошкинский р-н, , Пустошка г, Пушкинский пер, 8</t>
  </si>
  <si>
    <t>Россия, 182300, Псковская обл., Пустошка г, Южный пер, д. 5, кв.9</t>
  </si>
  <si>
    <t>Земельные участки, находящиеся в муниципальной собственности</t>
  </si>
  <si>
    <t>№ п/п</t>
  </si>
  <si>
    <t>Местоположение</t>
  </si>
  <si>
    <t>КН</t>
  </si>
  <si>
    <r>
      <t>Площадь</t>
    </r>
    <r>
      <rPr>
        <b/>
        <sz val="12"/>
        <rFont val="Times New Roman"/>
        <family val="1"/>
        <charset val="204"/>
      </rPr>
      <t xml:space="preserve"> кв.м</t>
    </r>
  </si>
  <si>
    <t>Целевое использование</t>
  </si>
  <si>
    <t>дата регистрации</t>
  </si>
  <si>
    <t>Бывший Собственник</t>
  </si>
  <si>
    <t>Псковская обл., г. Пустошка, ул.Полевая, д.8</t>
  </si>
  <si>
    <t>60:19:010459:16</t>
  </si>
  <si>
    <t>Индивидуальное жилищное строительство</t>
  </si>
  <si>
    <t>Максимова Юлия Викторовна</t>
  </si>
  <si>
    <t>Псковская обл., Пустошкинский район, Пригородная волость, д.Мольгино</t>
  </si>
  <si>
    <t>60:19:082101:33</t>
  </si>
  <si>
    <t>Ведение личного подсобного хозяйства</t>
  </si>
  <si>
    <t>Летунова Нина Дмитриевна</t>
  </si>
  <si>
    <t>Псковская обл., Пустошкинский район, Забельская волость, д.Логиново</t>
  </si>
  <si>
    <t>60:19:064101:19</t>
  </si>
  <si>
    <t>Бурак Михаил Сергеевич</t>
  </si>
  <si>
    <t>Псковская обл., Пустошкинский район, Алольская волость, восточнее д. Бубново</t>
  </si>
  <si>
    <t>60:19:024502:21</t>
  </si>
  <si>
    <t>Производство сельскохозяйственной продукции</t>
  </si>
  <si>
    <t>Маслов Николай Павлович</t>
  </si>
  <si>
    <t>Псковская обл., Пустошкинский район, Гультяевская волость, д.Шалахово</t>
  </si>
  <si>
    <t>60:19:091701:82</t>
  </si>
  <si>
    <t>Тишин Сергей Вениаминович</t>
  </si>
  <si>
    <t>Псковская обл., Пустошкинский район, Забельская волость, д.Ребле</t>
  </si>
  <si>
    <t>60:19:063801:33</t>
  </si>
  <si>
    <t>Большакова Анна Емельяновна</t>
  </si>
  <si>
    <t>Псковская обл., Пустошкинский район, Щукинская волость, д.Щукино</t>
  </si>
  <si>
    <t>60:19:100501:89</t>
  </si>
  <si>
    <t>Индивидуальное садоводство</t>
  </si>
  <si>
    <t>Рыженков Николай Владимирович</t>
  </si>
  <si>
    <t>Псковская обл., Пустошкинский район, Пригородная волость, северо-восточнее д.Долосцы</t>
  </si>
  <si>
    <t>60:19:083510:38</t>
  </si>
  <si>
    <t xml:space="preserve">Огородничество </t>
  </si>
  <si>
    <t>Еремеев Василий Сергеевич</t>
  </si>
  <si>
    <t xml:space="preserve">Псковская обл., Пустошкинский район, Пригородная волость, д.Ночвино </t>
  </si>
  <si>
    <t>60:19:080601:7</t>
  </si>
  <si>
    <t>Соколова Зоя Павловна</t>
  </si>
  <si>
    <t xml:space="preserve">Псковская обл., Пустошкинский район, Пригородная волость, д.Копылок </t>
  </si>
  <si>
    <t>60:19:082701:161</t>
  </si>
  <si>
    <t>Обслуживание здания бывшего интерната</t>
  </si>
  <si>
    <t>-</t>
  </si>
  <si>
    <t>60:19:082701:162</t>
  </si>
  <si>
    <t>Обслуживание здания бывшей мастерской</t>
  </si>
  <si>
    <t>Псковская обл., Пустошкинский район, Забельская волость, восточнее д.Лешно</t>
  </si>
  <si>
    <t>60:19:032202:43</t>
  </si>
  <si>
    <t>Иванова Анна Васильевна</t>
  </si>
  <si>
    <t>Псковская обл., Пустошкинский р-н, д. Алушково</t>
  </si>
  <si>
    <t>….</t>
  </si>
  <si>
    <t>Псковская обл., Пустошкинский р-н, д. Ночлегово</t>
  </si>
  <si>
    <t xml:space="preserve"> Жилой дом</t>
  </si>
  <si>
    <t>Россия, , Псковская обл., Пустошкинский р-н, , Пустошкинский р-н, станция Забелье, 2</t>
  </si>
  <si>
    <t>Россия, 180017, Псковская обл., , , Псков г, Кузнецкая ул, 5, 34</t>
  </si>
  <si>
    <t>Россия, 182300, Псковская обл., Пустошкинский р-н, , Пустошка г, Вокзальная ул, 30</t>
  </si>
  <si>
    <t>Россия, 182300, Псковская обл., Пустошкинский р-н, , Пустошка г, Вокзальная ул, 32</t>
  </si>
  <si>
    <t>Россия, 182300, Псковская обл., Пустошкинский р-н, , Пустошка г, Восточный пер, 11</t>
  </si>
  <si>
    <t>Россия, 182300, Псковская обл., Пустошкинский р-н, , Пустошка г, Восточный пер, 8</t>
  </si>
  <si>
    <t>Россия, 182300, Псковская обл., Пустошкинский р-н, , Пустошка г, Восточный пер, 9</t>
  </si>
  <si>
    <t>Россия, 182300, Псковская обл., Пустошкинский р-н, , Пустошка г, Железнодорожная ул,  17</t>
  </si>
  <si>
    <t>Россия, 182300, Псковская обл., Пустошкинский р-н, , Пустошка г, Железнодорожная ул, 11</t>
  </si>
  <si>
    <t>Россия, 182300, Псковская обл., Пустошкинский р-н, , Пустошка г, Железнодорожная ул, 13</t>
  </si>
  <si>
    <t>Россия, 182300, Псковская обл., Пустошкинский р-н, , Пустошка г, Железнодорожная ул, 18</t>
  </si>
  <si>
    <t>Россия, 182300, Псковская обл., Пустошкинский р-н, , Пустошка г, Железнодорожная ул, 24</t>
  </si>
  <si>
    <t>Россия, 182300, Псковская обл., Пустошкинский р-н, , Пустошка г, Железнодорожная,  18а</t>
  </si>
  <si>
    <t>Россия, 182300, Псковская обл., Пустошкинский р-н, , Пустошка г, Заречная ул, 21</t>
  </si>
  <si>
    <t>Россия, 182300, Псковская обл., Пустошкинский р-н, , Пустошка г, Лазарева ул, 39</t>
  </si>
  <si>
    <t>Россия, 182300, Псковская обл., Пустошкинский р-н, , Пустошка г, Лазарева ул, 46</t>
  </si>
  <si>
    <t>Россия, 182300, Псковская обл., Пустошкинский р-н, , Пустошка г, Лесная ул, 1</t>
  </si>
  <si>
    <t>Россия, 182300, Псковская обл., Пустошкинский р-н, , Пустошка г, Литвиненко ул, 34</t>
  </si>
  <si>
    <t>Комната</t>
  </si>
  <si>
    <t>Россия, 182300, Псковская обл., Пустошкинский р-н, , Пустошка г, Литвиненко ул, 34 , 2-2</t>
  </si>
  <si>
    <t>Россия, 182300, Псковская обл., Пустошкинский р-н, , Пустошка г, Литвиненко ул, 36</t>
  </si>
  <si>
    <t>Россия, 182300, Псковская обл., Пустошкинский р-н, , Пустошка г, Литвиненко ул, 38</t>
  </si>
  <si>
    <t>Россия, 182300, Псковская обл., Пустошкинский р-н, , Пустошка г, Литвиненко ул, 8</t>
  </si>
  <si>
    <t>Россия, 182300, Псковская обл., Пустошкинский р-н, , Пустошка г, Луначарского ул, 24</t>
  </si>
  <si>
    <t>Россия, 182300, Псковская обл., Пустошкинский р-н, , Пустошка г, Мира ул, 1</t>
  </si>
  <si>
    <t>Россия, 182300, Псковская обл., Пустошкинский р-н, , Пустошка г, Мира ул, 10</t>
  </si>
  <si>
    <t>Россия, 182300, Псковская обл., Пустошкинский р-н, , Пустошка г, Мира ул, 11</t>
  </si>
  <si>
    <t>Россия, 182300, Псковская обл., Пустошкинский р-н, , Пустошка г, Мира ул, 12</t>
  </si>
  <si>
    <t>Россия, 182300, Псковская обл., Пустошкинский р-н, , Пустошка г, Мира ул, 13</t>
  </si>
  <si>
    <t>Россия, 182300, Псковская обл., Пустошкинский р-н, , Пустошка г, Мира ул, 4</t>
  </si>
  <si>
    <t>Сараи</t>
  </si>
  <si>
    <t>Россия, 182300, Псковская обл., Пустошкинский р-н, , Пустошка г, Московское шоссе ул, 2</t>
  </si>
  <si>
    <t>Россия, 182300, Псковская обл., Пустошкинский р-н, , Пустошка г, Октябрьская ул, 12</t>
  </si>
  <si>
    <t>Россия, 182300, Псковская обл., Пустошкинский р-н, , Пустошка г, Октябрьская ул, 16а</t>
  </si>
  <si>
    <t>Россия, 182300, Псковская обл., Пустошкинский р-н, , Пустошка г, Октябрьская ул, 26</t>
  </si>
  <si>
    <t>Россия, 182300, Псковская обл., Пустошкинский р-н, , Пустошка г, Октябрьская ул, 33</t>
  </si>
  <si>
    <t>Россия, 182300, Псковская обл., Пустошкинский р-н, , Пустошка г, Октябрьская ул, 34</t>
  </si>
  <si>
    <t>Россия, 182300, Псковская обл., Пустошкинский р-н, , Пустошка г, Октябрьская ул, 34а, 5</t>
  </si>
  <si>
    <t>Россия, 182300, Псковская обл., Пустошкинский р-н, , Пустошка г, Октябрьская ул, 35</t>
  </si>
  <si>
    <t>Россия, 182300, Псковская обл., Пустошкинский р-н, , Пустошка г, Октябрьская ул, 37</t>
  </si>
  <si>
    <t>Россия, 182300, Псковская обл., Пустошкинский р-н, , Пустошка г, Октябрьская ул, 37, кв 1</t>
  </si>
  <si>
    <t>Россия, 182300, Псковская обл., Пустошкинский р-н, , Пустошка г, Октябрьская ул, 39</t>
  </si>
  <si>
    <t>Россия, 182300, Псковская обл., Пустошкинский р-н, , Пустошка г, Октябрьская ул, 44</t>
  </si>
  <si>
    <t>Россия, 182300, Псковская обл., Пустошкинский р-н, , Пустошка г, Октябрьская ул, 46</t>
  </si>
  <si>
    <t>Россия, 182300, Псковская обл., Пустошкинский р-н, , Пустошка г, Октябрьская ул, 48</t>
  </si>
  <si>
    <t>Россия, 182300, Псковская обл., Пустошкинский р-н, , Пустошка г, Октябрьская ул, 56</t>
  </si>
  <si>
    <t>Россия, 182300, Псковская обл., Пустошкинский р-н, , Пустошка г, Октябрьская ул, 60</t>
  </si>
  <si>
    <t>Россия, 182300, Псковская обл., Пустошкинский р-н, , Пустошка г, Октябрьская ул, 62</t>
  </si>
  <si>
    <t>Россия, 182300, Псковская обл., Пустошкинский р-н, , Пустошка г, Октябрьская ул, 64</t>
  </si>
  <si>
    <t>Россия, 182300, Псковская обл., Пустошкинский р-н, , Пустошка г, Октябрьская ул, 6а</t>
  </si>
  <si>
    <t>Россия, 182300, Псковская обл., Пустошкинский р-н, , Пустошка г, Октябрьская ул, 6б</t>
  </si>
  <si>
    <t>Россия, 182300, Псковская обл., Пустошкинский р-н, , Пустошка г, Октябрьская ул, 70</t>
  </si>
  <si>
    <t>Россия, 182300, Псковская обл., Пустошкинский р-н, , Пустошка г, Офицерский пер, 7</t>
  </si>
  <si>
    <t>Россия, 182300, Псковская обл., Пустошкинский р-н, , Пустошка г, Пионерская ул, 7</t>
  </si>
  <si>
    <t>Россия, 182300, Псковская обл., Пустошкинский р-н, , Пустошка г, Полевая ул, 21</t>
  </si>
  <si>
    <t>Россия, 182300, Псковская обл., Пустошкинский р-н, , Пустошка г, Революции ул, 100</t>
  </si>
  <si>
    <t>Россия, 182300, Псковская обл., Пустошкинский р-н, , Пустошка г, Революции ул, 102</t>
  </si>
  <si>
    <t>Россия, 182300, Псковская обл., Пустошкинский р-н, , Пустошка г, Революции ул, 12</t>
  </si>
  <si>
    <t>Россия, 182300, Псковская обл., Пустошкинский р-н, , Пустошка г, Революции ул, 25</t>
  </si>
  <si>
    <t>Россия, 182300, Псковская обл., Пустошкинский р-н, , Пустошка г, Революции ул, 72</t>
  </si>
  <si>
    <t>Россия, 182300, Псковская обл., Пустошкинский р-н, , Пустошка г, Революции ул, 84</t>
  </si>
  <si>
    <t>Россия, 182300, Псковская обл., Пустошкинский р-н, , Пустошка г, Революции ул, 93</t>
  </si>
  <si>
    <t>Россия, 182300, Псковская обл., Пустошкинский р-н, , Пустошка г, Революции ул, 98</t>
  </si>
  <si>
    <t>Россия, 182300, Псковская обл., Пустошкинский р-н, , Пустошка г, Рощупкина ул, 3</t>
  </si>
  <si>
    <t>Россия, 182300, Псковская обл., Пустошкинский р-н, , Пустошка г, Рощупкина ул, 4</t>
  </si>
  <si>
    <t>Россия, 182300, Псковская обл., Пустошкинский р-н, , Пустошка г, Рощупкина ул, 6</t>
  </si>
  <si>
    <t>Россия, 182300, Псковская обл., Пустошкинский р-н, , Пустошка г, Северная ул, 10</t>
  </si>
  <si>
    <t>Россия, 182300, Псковская обл., Пустошкинский р-н, , Пустошка г, Советская ул, 10</t>
  </si>
  <si>
    <t>Россия, 182300, Псковская обл., Пустошкинский р-н, , Пустошка г, Советская ул, 11</t>
  </si>
  <si>
    <t>Россия, 182300, Псковская обл., Пустошкинский р-н, , Пустошка г, Советская ул, 14</t>
  </si>
  <si>
    <t>Россия, 182300, Псковская обл., Пустошкинский р-н, , Пустошка г, Солнечная ул, 7</t>
  </si>
  <si>
    <t>Россия, 182300, Псковская обл., Пустошкинский р-н, , Пустошка г, Спортивный пер, 1</t>
  </si>
  <si>
    <t>Россия, 182300, Псковская обл., Пустошкинский р-н, , Пустошка г, Спортивный пер, 5</t>
  </si>
  <si>
    <t>Россия, 182300, Псковская обл., Пустошкинский р-н, , Пустошка г, Спортивный пер, 9</t>
  </si>
  <si>
    <t>Россия, 182300, Псковская обл., Пустошкинский р-н, , Пустошка г, Строителей  пер, 11</t>
  </si>
  <si>
    <t>,,,,,,</t>
  </si>
  <si>
    <t>Россия, 182300, Псковская обл., Пустошкинский р-н, , Пустошка г, Центральный пер, 5</t>
  </si>
  <si>
    <t>Россия, 182300, Псковская обл., Пустошкинский р-н, , Пустошка г, Школьная ул, 20</t>
  </si>
  <si>
    <t>Россия, 182300, Псковская обл., Пустошкинский р-н, , Пустошка г, Южный пер, 4</t>
  </si>
  <si>
    <t>Россия, 182300, Псковская обл., Пустошкинский р-н, , Пустошка г, Южный пер, 6</t>
  </si>
  <si>
    <t>Россия, 182300, Псковская обл., Пустошкинский р-н, , Пустошка г, Южный пер, 7</t>
  </si>
  <si>
    <t>Россия, 182300, Псковская обл., Пустошкинский р-н, , Пустошка г, Южный пер, 8</t>
  </si>
  <si>
    <t>Россия, 182300, Псковская обл., Пустошкинский р-н, , Пустошка г, Южный ул, 1а</t>
  </si>
  <si>
    <t>2 Жилых дома</t>
  </si>
  <si>
    <t>Россия, 182314, Псковская обл., Пустошкинский р-н, , Пустошкинский р-н, Щукинская вол, Щукино д, ,</t>
  </si>
  <si>
    <t>Россия, 182300, Псковская обл., Пустошкинский р-н, , Пустошка г, Луговая ул, 21а</t>
  </si>
  <si>
    <t>Реестровый номер объекта учета 8888</t>
  </si>
  <si>
    <t>СВЕДЕНИЯ ОБ АКЦИЯХ (ДОЛЯХ) ХОЗЯЙСТВЕННЫХ ОБЩЕСТВ,</t>
  </si>
  <si>
    <t>ПРИНАДЛЕЖАЩИХ ПУСТОШКИНСКОМУ РАЙОНЙ НА ПРАВЕ СОБСТВЕННОСТИ</t>
  </si>
  <si>
    <t>№</t>
  </si>
  <si>
    <t>Наименование сведений</t>
  </si>
  <si>
    <t>Содержание сведений об объекте учета</t>
  </si>
  <si>
    <t>1.</t>
  </si>
  <si>
    <t>Полное наименование юридического лица</t>
  </si>
  <si>
    <t>Открытое акционерное общество по газификации и эксплуатации газового хозяйства "Псковоблгаз"</t>
  </si>
  <si>
    <t>2.</t>
  </si>
  <si>
    <t>Краткое наименование юридического лица</t>
  </si>
  <si>
    <t>ОАО "Псковоблгаз"</t>
  </si>
  <si>
    <t>3.</t>
  </si>
  <si>
    <t>Полный юридический адрес</t>
  </si>
  <si>
    <t>Россия, 180017, Псковская область, г.Псков, ул. Рабочая, 5</t>
  </si>
  <si>
    <t>4.</t>
  </si>
  <si>
    <t>Дата и № регистрационного свидетельства юридического лица</t>
  </si>
  <si>
    <t>5.</t>
  </si>
  <si>
    <t>ОКПО</t>
  </si>
  <si>
    <t>6.</t>
  </si>
  <si>
    <t>ОКОГУ</t>
  </si>
  <si>
    <t>7.</t>
  </si>
  <si>
    <t>ОКАТО</t>
  </si>
  <si>
    <t>8.</t>
  </si>
  <si>
    <t>ОКВЭД</t>
  </si>
  <si>
    <t>9.</t>
  </si>
  <si>
    <t>ОКФС</t>
  </si>
  <si>
    <t>10.</t>
  </si>
  <si>
    <t>ОКОПФ</t>
  </si>
  <si>
    <t>11.</t>
  </si>
  <si>
    <t>ИНН</t>
  </si>
  <si>
    <t>12.</t>
  </si>
  <si>
    <t>Сумма уставного капитала</t>
  </si>
  <si>
    <t>13.</t>
  </si>
  <si>
    <t>Количество акций, принадлежащих району</t>
  </si>
  <si>
    <t>14.</t>
  </si>
  <si>
    <t>% от общего количества акций или доля вклада в Уставной капитал</t>
  </si>
  <si>
    <t>15.</t>
  </si>
  <si>
    <t>Номинальная стоимость акций (доли), принадлежащих району</t>
  </si>
  <si>
    <t>005200003</t>
  </si>
  <si>
    <t>005200004</t>
  </si>
  <si>
    <t>005200005</t>
  </si>
  <si>
    <t>005200006</t>
  </si>
  <si>
    <t>005200008</t>
  </si>
  <si>
    <t>005200010</t>
  </si>
  <si>
    <t>005200011</t>
  </si>
  <si>
    <t>005200012</t>
  </si>
  <si>
    <t>005200014</t>
  </si>
  <si>
    <t>005200015</t>
  </si>
  <si>
    <t>005200016</t>
  </si>
  <si>
    <t>005200017</t>
  </si>
  <si>
    <t>005200018</t>
  </si>
  <si>
    <t>005200020</t>
  </si>
  <si>
    <t>005200021</t>
  </si>
  <si>
    <t>005200022</t>
  </si>
  <si>
    <t>Россия, 182300, Псковская обл., Пустошкинский р-н, , Пустошка г, Советская ул, 9</t>
  </si>
  <si>
    <t>005200023</t>
  </si>
  <si>
    <t>005200024</t>
  </si>
  <si>
    <t>005200025</t>
  </si>
  <si>
    <t>005200026</t>
  </si>
  <si>
    <t>005200028</t>
  </si>
  <si>
    <t>005200029</t>
  </si>
  <si>
    <t>Россия, 182300, Псковская обл., Пустошкинский р-н, , Пустошка г, Октябрьская ул, 5</t>
  </si>
  <si>
    <t>005200031</t>
  </si>
  <si>
    <t>005200033</t>
  </si>
  <si>
    <t>Россия, 182300, Псковская обл., Пустошкинский р-н, , Пустошка г, Октябрьская ул, 22</t>
  </si>
  <si>
    <t>Россия, 182300, Псковская обл., Пустошкинский р-н, , Пустошка г, Октябрьская ул, 39, кв. 48</t>
  </si>
  <si>
    <t>005200034</t>
  </si>
  <si>
    <t>005200035</t>
  </si>
  <si>
    <t>005200036</t>
  </si>
  <si>
    <t>005200038</t>
  </si>
  <si>
    <t>005200040</t>
  </si>
  <si>
    <t>005200042</t>
  </si>
  <si>
    <t>005200043</t>
  </si>
  <si>
    <t>005200044</t>
  </si>
  <si>
    <t>005200045</t>
  </si>
  <si>
    <t>005200046</t>
  </si>
  <si>
    <t>005200047</t>
  </si>
  <si>
    <t>005200048</t>
  </si>
  <si>
    <t>Россия, 182300, Псковская обл., Пустошкинский р-н, , Пустошка г, Октябрьская ул, 14</t>
  </si>
  <si>
    <t>005200050</t>
  </si>
  <si>
    <t>Россия, 182300, Псковская обл., Пустошкинский р-н, , Пустошка г, Пионерская ул, 38</t>
  </si>
  <si>
    <t>005200051</t>
  </si>
  <si>
    <t>005200054</t>
  </si>
  <si>
    <t>005200056</t>
  </si>
  <si>
    <t>005200057</t>
  </si>
  <si>
    <t>Россия, 182300, Псковская обл., Пустошкинский р-н, , Пустошка г, Речная, 6</t>
  </si>
  <si>
    <t>005200058</t>
  </si>
  <si>
    <t>005200059</t>
  </si>
  <si>
    <t>005200060</t>
  </si>
  <si>
    <t>005200062</t>
  </si>
  <si>
    <t>005200064</t>
  </si>
  <si>
    <t>005200065</t>
  </si>
  <si>
    <t>005200066</t>
  </si>
  <si>
    <t>005200068</t>
  </si>
  <si>
    <t>005200070</t>
  </si>
  <si>
    <t>005200071</t>
  </si>
  <si>
    <t>005200072</t>
  </si>
  <si>
    <t>Россия, 182300, Псковская обл., Пустошкинский р-н, , Пустошка г, Революции ул, 44</t>
  </si>
  <si>
    <t>005200073</t>
  </si>
  <si>
    <t>005200075</t>
  </si>
  <si>
    <t>005200076</t>
  </si>
  <si>
    <t>005200077</t>
  </si>
  <si>
    <t>005200078</t>
  </si>
  <si>
    <t>005200082</t>
  </si>
  <si>
    <t>005200084</t>
  </si>
  <si>
    <t>005200085</t>
  </si>
  <si>
    <t>005200089</t>
  </si>
  <si>
    <t>005200091</t>
  </si>
  <si>
    <t>005200095</t>
  </si>
  <si>
    <t>005200096</t>
  </si>
  <si>
    <t>005200098</t>
  </si>
  <si>
    <t>005200099</t>
  </si>
  <si>
    <t>005200100</t>
  </si>
  <si>
    <t>005200101</t>
  </si>
  <si>
    <t>005200103</t>
  </si>
  <si>
    <t>005200104</t>
  </si>
  <si>
    <t>005200105</t>
  </si>
  <si>
    <t>005200106</t>
  </si>
  <si>
    <t>005200107</t>
  </si>
  <si>
    <t>005200108</t>
  </si>
  <si>
    <t>Россия, 182300, Псковская обл., Пустошкинский р-н, , Пустошка г, Южный пер, 9</t>
  </si>
  <si>
    <t>005200109</t>
  </si>
  <si>
    <t>005200114</t>
  </si>
  <si>
    <t>005200115</t>
  </si>
  <si>
    <t>005200116</t>
  </si>
  <si>
    <t>005200117</t>
  </si>
  <si>
    <t>005200120</t>
  </si>
  <si>
    <t>005200121</t>
  </si>
  <si>
    <t>005200129</t>
  </si>
  <si>
    <t>005200130</t>
  </si>
  <si>
    <t>005200133</t>
  </si>
  <si>
    <t>005200134</t>
  </si>
  <si>
    <t>005200146</t>
  </si>
  <si>
    <t>005200147</t>
  </si>
  <si>
    <t>005200177</t>
  </si>
  <si>
    <t>005200178</t>
  </si>
  <si>
    <t>005200196</t>
  </si>
  <si>
    <t>005200197</t>
  </si>
  <si>
    <t>Россия, 182300, Псковская обл., Пустошкинский р-н, , Пустошка г, Пригородная ул, 24, кв.1</t>
  </si>
  <si>
    <t>005200200</t>
  </si>
  <si>
    <t>005200202</t>
  </si>
  <si>
    <t>005200203</t>
  </si>
  <si>
    <t>005200204</t>
  </si>
  <si>
    <t>005200205</t>
  </si>
  <si>
    <t>Россия, 182300, Псковская обл., Пустошкинский р-н, , Пустошка г, Октябрьская ул, 34а, 30</t>
  </si>
  <si>
    <t>005200206</t>
  </si>
  <si>
    <t>Россия, 182300, Псковская обл., Пустошкинский р-н, , Пустошка г, Октябрьская ул, 12, 5</t>
  </si>
  <si>
    <t>005200207</t>
  </si>
  <si>
    <t>Россия, 182300, Псковская обл., Пустошкинский р-н, , Пустошка г, Октябрьская ул, 34а, 41</t>
  </si>
  <si>
    <t>005200208</t>
  </si>
  <si>
    <t>Россия, 182300, Псковская обл., Пустошкинский р-н, , Пустошка г, Октябрьская ул, 34а, 4</t>
  </si>
  <si>
    <t>Россия, 182300, Псковская обл., Пустошкинский р-н, , Пустошка г, Пионерская ул, д. б/н</t>
  </si>
  <si>
    <t>Россия, 182300, Псковская обл., Пустошка г, Октябрьская ул., д. 33, кв. 7</t>
  </si>
  <si>
    <t>001500089</t>
  </si>
  <si>
    <t>Россия, 182300, Псковская обл., Пустошкинский р-н, , Пустошка г, Южный пер., д.4, кв.4</t>
  </si>
  <si>
    <t>Балансодержатель МБОУ "Алольская средняя общеобразовательная школа"</t>
  </si>
  <si>
    <t>Начисл. амортизация</t>
  </si>
  <si>
    <t>Нежилое помещение- спортивный зал</t>
  </si>
  <si>
    <t>Нежилое помещение- душевая комната</t>
  </si>
  <si>
    <t>Балансодержатель Администрация Пустошкинского района</t>
  </si>
  <si>
    <t>Балансодержатель МБОУ "Гультяевская средняя общеобразовательная школа"</t>
  </si>
  <si>
    <t>Балансодержатель МБОУ "Забельская средняя общеобразовательная школа"</t>
  </si>
  <si>
    <t>Балансодержатель МБОУ "Пустошкинская средняя общеобразовательная школа"</t>
  </si>
  <si>
    <t>Балансодержатель МБОУ д/с комбинированного вида "Солнышко"</t>
  </si>
  <si>
    <t>Балансодержатель МБОУ д/с комбинированного вида "Светлячок"</t>
  </si>
  <si>
    <t>Балансодержатель МБОУ ДОД "Дом детского творчества"</t>
  </si>
  <si>
    <t>Балансодержатель МБОУ ДОД "Детско-юношеская спортивная школа"</t>
  </si>
  <si>
    <t>Балансодержатель МБОУ  ДОД "Пустошкинская детская школа искусств"</t>
  </si>
  <si>
    <t>Основание возникновения права муниц. собств.</t>
  </si>
  <si>
    <t>Дата возникновения права муниц. собств.</t>
  </si>
  <si>
    <t xml:space="preserve">Решение Малого Совета Пустошкинского районного Совета народных депутатов от 02.07.1992 № 71 </t>
  </si>
  <si>
    <t>Балансодержатель МБОУ "Красненская основная общеобразовательная школа"</t>
  </si>
  <si>
    <t>Муниц. контракт от 29.08.2012 № 10, Свидетельство о гос. регистрации права № 60-60-03/016/2012-499 от 25.09.2012</t>
  </si>
  <si>
    <t>Свидетельство о праве на наследство по закону от 30.12.2011 № 3-1814, Свидетельство о гос. регистрации права от 07.02.2012 № 60-60-03/007/2012-016</t>
  </si>
  <si>
    <t>Свидетельство о праве на наследство по закону от 22.11.2011 № 3-1601, Свидетельство о гос. регистрации права от 12.12.2011 № 60-60-03/015/2011-207</t>
  </si>
  <si>
    <t>Муниц. контракт от 13.12.2006 № 3, Свидетельство о гос. регистрации права № 60-60-05/002/2007-113 от 14.03.2007</t>
  </si>
  <si>
    <t>Муниц. контракт от 21.12.2009 № 9, Свидетельство о гос. регистрации права № 60-60-01/014/2010-208 от 25.02.2010</t>
  </si>
  <si>
    <t>2600 пм</t>
  </si>
  <si>
    <t>10000 пм</t>
  </si>
  <si>
    <t>5000 пм</t>
  </si>
  <si>
    <t>3300 пм</t>
  </si>
  <si>
    <t>4420 пм</t>
  </si>
  <si>
    <t>1550 пм</t>
  </si>
  <si>
    <t>Договор дарения от 11.04.2002, Свидетельство о гос. регистрации 60-01/05-02/2002-255 от 08.07.2002</t>
  </si>
  <si>
    <t>Свидетельство о праве на наследство по закону от26.09.2012 № 3-1257, Свидетельство о гос. регистрации права от 11.10.2012 № 60-60-03/016/2012-567</t>
  </si>
  <si>
    <t>Распоряжение Администрации Псковской области от 20.03.2006 № 42-р "О передаче автомобильных дорог общего пользования, находящихся в собственности области, в собственность муниципальных районов"</t>
  </si>
  <si>
    <t>-- // --</t>
  </si>
  <si>
    <t>Распоряжение Главы района от 18.05.2006 № 448 "О передаче в муниципальную собственность района автомобильной дороги "Святец - Борки"</t>
  </si>
  <si>
    <t>Распоряжение Главы района от 29.05.2006 № 489 "О передаче в муниципальную собственность района водонапорных башен"</t>
  </si>
  <si>
    <t>Балансодержатель  МУП "Горкомхоз"</t>
  </si>
  <si>
    <t>Балансодержатель  МУП "Партнёр"</t>
  </si>
  <si>
    <t>Балансодержатель  МП "Пустошкинские теплосети"</t>
  </si>
  <si>
    <t>Балансодержатель  МУП "Пустошкинская аптека"</t>
  </si>
  <si>
    <t>Балансодержатель  МУП "Пустошкинская типография"</t>
  </si>
  <si>
    <t>Балансодержатель  МУП "Пустошкинский хлебокомбинат"</t>
  </si>
  <si>
    <t>Балансодержатель  МУП "Редакция газеты "Вперед"</t>
  </si>
  <si>
    <t>Балансодержатель  МП "Служба заказчика"</t>
  </si>
  <si>
    <t>Обременения</t>
  </si>
  <si>
    <t>Договоры безвозмездного пользования (ссуды) от 09.10.2012 № 5 (помещ. S 57,9 кв.м) на срок  с 29.08.2012.г по 28.08.2017г.  с МБУК "Пустошкинская центральная районная библиотека" ;  от 10.12.2012 № 6 (помещ. S 36,6 кв.м) на срок  с 10.12.2012г.  по 08.12.2017 г.с ГБУЗ ПО "Пустошкинская районная больница"</t>
  </si>
  <si>
    <t>Договор аренды от 10.04.2012 № 1 (помещ. S 227,5 кв.м ) на срок с 29.02.2012 по 28.02.2013 с ИП Андреев В.В.</t>
  </si>
  <si>
    <t>Договоры безвозмездного пользования (ссуды) от 22.06.2012 № 4 (помещ. S 42,8 кв.м) на срок  с 26.06.2012г.  по24.06.2013 г.с УФС государственной регистрации, кадастра и картографии по Псковской области; от 18.06.2012 № 3 (помещ. S 74,6 кв.м) на срок с 12.02.2012 по 11.02.2017 с Администрацией ГП "Пустошка", от 31.01.2011 № 1 (помещ. S 73,6 кв.м) на срок  с 01.11.2011 по 31.12.2012 с ФГБУ "ФКП Росреестра"; Договор аренды от 18.06.2012 № 2 (помещ. S 19,3 кв.м ) на срок с 29.01.2012 по 28.01.2013 с Администрацией ГП "Пустошка"</t>
  </si>
  <si>
    <t>Договор безвозмездного пользования (ссуды) от 30.11.2011 № 11 (помещ. S 77 кв.м) на срок  с 18.03.2011 по 17.03.2016 с ГГУ юстиции Псковской области</t>
  </si>
  <si>
    <t>Договоры безвозмездного пользования (ссуды) от 29.12.2012 № 11 (помещ. S 36,6 кв.м) на срок  с 29.12.2012г.  по 28.12.2017 г.с ГБУЗ ПО "Пустошкинская районная больница"; от 17.06.2011 № 8 (помещ. S 54,9кв.м) на срок  с 17.06.2011 по 16.06.2021 с МБОУ ДОД "Дом детского творчества"</t>
  </si>
  <si>
    <t>Договоры безвозмездного пользования (ссуды) от 29.12.2012 № 10 (помещ. S 320,0 кв.м) на срок  с 30.12.2012г.  по 29.12.2017 г.с ГКУСО "Центр социального обслуживания Пустошкинского района"; от 26.12.2012 № 8 (помещ. S 387,9 кв.м) на срок  с 26.12.2012г.  по 25.12.2037 г.с Зарембо Д.В.; от 29.02.2012 № 2 (помещ. S 203,84 кв.м) на срок  с 02.03.2012  по 28.02.2013 с ГКУ ПО "Центр занятости населения Пустошкинского района"; от 12.12.2011 № 12 (помещ. S 248 кв.м) на срок  с  31.12.2011 по 30.12.2016 с ТУ Пустошкинского района ГГУ социальной защиты населения Псковской области; от 17.06.2011 № 7 (помещ. S 15,4 кв.м) на срок  с 17.06.2011 по 16.06.2021 с МБОУ ДОД "Дом детского творчества"</t>
  </si>
  <si>
    <t>Договор аренды от 09.07..2012 № 3 (помещ. S 32,7 кв.м ) на срок с 09.07.2012 по 08.07.2017 с Волощук С.М.</t>
  </si>
  <si>
    <t>Договоры аренды (помещ. S 23 кв.м) с ЗАО "МАКС-М"; (помещ. S 37,6 кв.м) с ИП Шкенсберга М.В.</t>
  </si>
  <si>
    <t>Договор аренды с Отделом ПФР РФ в Пустошкинском районе</t>
  </si>
  <si>
    <t>Договор аренды (помещ. S 46,4 кв.м) с ИП Шкенсберга М.В.</t>
  </si>
  <si>
    <t>003700008</t>
  </si>
  <si>
    <t>003700009</t>
  </si>
  <si>
    <t>Нежилое помещение- школа</t>
  </si>
  <si>
    <t>Всего</t>
  </si>
  <si>
    <t>999900277</t>
  </si>
  <si>
    <t>999900281</t>
  </si>
  <si>
    <t>999900282</t>
  </si>
  <si>
    <t>999900283</t>
  </si>
  <si>
    <t>999900284</t>
  </si>
  <si>
    <t>Нежилое помещение № 1001 (гараж)</t>
  </si>
  <si>
    <t>Нежилое помещение № 1005 (гараж)</t>
  </si>
  <si>
    <t>Нежилое помещение № 1006 (гараж)</t>
  </si>
  <si>
    <t>Нежилое помещение № 1007 (гараж)</t>
  </si>
  <si>
    <t>Нежилое помещение № 1008 (гараж)</t>
  </si>
  <si>
    <t>999900285</t>
  </si>
  <si>
    <t>Псковская обл., Пустошкинский район, г. Пустошка, ул.Т.Птичкиной</t>
  </si>
  <si>
    <t>60:19:010317:22</t>
  </si>
  <si>
    <t>Псковская обл., Пустошкинский район, г. Пустошка, ул.Октябрьская, д. 12а</t>
  </si>
  <si>
    <t>60:19:0010443:31</t>
  </si>
  <si>
    <t>Для строительства объектов коммунального хозяйства</t>
  </si>
  <si>
    <t>Для обслуживания стадиона</t>
  </si>
  <si>
    <t xml:space="preserve">Нежилое помещение </t>
  </si>
  <si>
    <t>Нежилое здание</t>
  </si>
  <si>
    <t>Россия, , Псковская обл., Пустошкинский р-н, , Алольская вол, Алоль д, , (библиотека)</t>
  </si>
  <si>
    <t>Россия, 182303, Псковская обл., Пустошкинский р-н, , Алольская вол, Вербилово д, , (здание детского сада)</t>
  </si>
  <si>
    <t>Россия, , Псковская обл., Пустошкинский р-н, ,Алольская вол, Вербилово д, ,(интернат, библиотека)</t>
  </si>
  <si>
    <t>Россия, 182303, Псковская обл., Пустошкинский р-н, Алольская вол, Гаёво д, ,( медпункт)</t>
  </si>
  <si>
    <t>Россия, 182317, Псковская обл., Пустошкинский р-н, Гультяевская вол, Шалахово д, , (интернат)</t>
  </si>
  <si>
    <t>Россия, 182317, Псковская обл., Пустошкинский р-н, Гультяевская вол, Шалахово д, , (школа)</t>
  </si>
  <si>
    <t>Россия, 182317, Псковская обл., Пустошкинский р-н, Гультяевская вол, Шалахово д, ,(мастерские)</t>
  </si>
  <si>
    <t>Россия, 182327, Псковская обл., Пустошкинский р-н, , Гультяевская вол, Гультяи д, , (интернат)</t>
  </si>
  <si>
    <t>Россия, , Псковская обл., Пустошкинский р-н, , Гультяевская вол, Линец д, ,(библиотека)</t>
  </si>
  <si>
    <t>Россия, 182316, Псковская обл., Пустошкинский р-н, Гультяевская вол, Шилово д, , (в здании клуба)</t>
  </si>
  <si>
    <t>999900287</t>
  </si>
  <si>
    <t>999900288</t>
  </si>
  <si>
    <t>999900289</t>
  </si>
  <si>
    <t>999900290</t>
  </si>
  <si>
    <t>Здание детских  яслей</t>
  </si>
  <si>
    <t>Сарай для детских игрушек</t>
  </si>
  <si>
    <t>Здание школы - детского сада</t>
  </si>
  <si>
    <t>Россия, 182313, Псковская обл., Пустошкинский р-н, Щукинская вол, Щукино д, ,</t>
  </si>
  <si>
    <t xml:space="preserve">Казна района </t>
  </si>
  <si>
    <t>МО "Пустошкинский район"</t>
  </si>
  <si>
    <t>Балансодержатель МБУК "Пустошкинский районный центр культуры"</t>
  </si>
  <si>
    <t>005100023</t>
  </si>
  <si>
    <t>005100024</t>
  </si>
  <si>
    <t>005100025</t>
  </si>
  <si>
    <t>005100026</t>
  </si>
  <si>
    <t>005100027</t>
  </si>
  <si>
    <t>005100028</t>
  </si>
  <si>
    <t>005100029</t>
  </si>
  <si>
    <t>005100030</t>
  </si>
  <si>
    <t>005100031</t>
  </si>
  <si>
    <t>по состоянию на 01.07.2014 г.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</si>
</sst>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color rgb="FFFF00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ont="1"/>
    <xf numFmtId="49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/>
    <xf numFmtId="49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0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13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/>
    <xf numFmtId="0" fontId="7" fillId="0" borderId="1" xfId="0" applyFont="1" applyBorder="1"/>
    <xf numFmtId="0" fontId="4" fillId="0" borderId="1" xfId="0" applyFont="1" applyBorder="1" applyAlignment="1">
      <alignment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49" fontId="14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/>
    <xf numFmtId="0" fontId="0" fillId="0" borderId="1" xfId="0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/>
    <xf numFmtId="0" fontId="1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/>
    <xf numFmtId="0" fontId="7" fillId="0" borderId="1" xfId="0" applyFont="1" applyBorder="1" applyAlignment="1">
      <alignment horizontal="left"/>
    </xf>
    <xf numFmtId="4" fontId="0" fillId="0" borderId="0" xfId="0" applyNumberFormat="1" applyFill="1" applyAlignment="1">
      <alignment vertical="center" wrapText="1"/>
    </xf>
    <xf numFmtId="4" fontId="7" fillId="0" borderId="1" xfId="0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11"/>
  <sheetViews>
    <sheetView topLeftCell="A102" zoomScaleNormal="100" zoomScaleSheetLayoutView="100" workbookViewId="0">
      <selection activeCell="F121" sqref="F121"/>
    </sheetView>
  </sheetViews>
  <sheetFormatPr defaultRowHeight="12.75"/>
  <cols>
    <col min="1" max="1" width="11.28515625" style="25" customWidth="1"/>
    <col min="2" max="2" width="19.140625" style="25" customWidth="1"/>
    <col min="3" max="3" width="18.42578125" style="25" customWidth="1"/>
    <col min="4" max="4" width="34.42578125" style="34" customWidth="1"/>
    <col min="5" max="5" width="9.140625" style="25"/>
    <col min="6" max="6" width="12.42578125" style="25" customWidth="1"/>
    <col min="7" max="9" width="14.7109375" style="25" customWidth="1"/>
    <col min="10" max="10" width="16.85546875" style="25" customWidth="1"/>
    <col min="11" max="11" width="22" style="25" customWidth="1"/>
    <col min="12" max="12" width="27.85546875" style="25" customWidth="1"/>
    <col min="13" max="16384" width="9.140625" style="25"/>
  </cols>
  <sheetData>
    <row r="2" spans="1:12">
      <c r="A2" s="96" t="s">
        <v>0</v>
      </c>
      <c r="B2" s="96"/>
      <c r="C2" s="96"/>
      <c r="D2" s="96"/>
      <c r="E2" s="97"/>
      <c r="F2" s="97"/>
      <c r="G2" s="97"/>
      <c r="H2" s="97"/>
      <c r="I2" s="97"/>
    </row>
    <row r="3" spans="1:12">
      <c r="A3" s="41"/>
      <c r="B3" s="41"/>
      <c r="C3" s="41"/>
      <c r="D3" s="1"/>
      <c r="E3" s="40"/>
      <c r="F3" s="40"/>
      <c r="G3" s="40"/>
      <c r="H3" s="77"/>
      <c r="I3" s="40"/>
    </row>
    <row r="4" spans="1:12">
      <c r="A4" s="96"/>
      <c r="B4" s="96"/>
      <c r="C4" s="96"/>
      <c r="D4" s="96"/>
      <c r="E4" s="97"/>
      <c r="F4" s="97"/>
      <c r="G4" s="97"/>
      <c r="H4" s="97"/>
      <c r="I4" s="97"/>
    </row>
    <row r="5" spans="1:12">
      <c r="A5" s="96" t="s">
        <v>843</v>
      </c>
      <c r="B5" s="96"/>
      <c r="C5" s="96"/>
      <c r="D5" s="96"/>
      <c r="E5" s="100"/>
      <c r="F5" s="100"/>
      <c r="G5" s="100"/>
      <c r="H5" s="100"/>
      <c r="I5" s="100"/>
    </row>
    <row r="6" spans="1:12" ht="40.5" customHeight="1">
      <c r="A6" s="14" t="s">
        <v>1</v>
      </c>
      <c r="B6" s="14" t="s">
        <v>2</v>
      </c>
      <c r="C6" s="14" t="s">
        <v>3</v>
      </c>
      <c r="D6" s="3" t="s">
        <v>4</v>
      </c>
      <c r="E6" s="14" t="s">
        <v>5</v>
      </c>
      <c r="F6" s="14" t="s">
        <v>6</v>
      </c>
      <c r="G6" s="14" t="s">
        <v>7</v>
      </c>
      <c r="H6" s="2" t="s">
        <v>844</v>
      </c>
      <c r="I6" s="14" t="s">
        <v>8</v>
      </c>
      <c r="J6" s="3" t="s">
        <v>857</v>
      </c>
      <c r="K6" s="3" t="s">
        <v>856</v>
      </c>
      <c r="L6" s="3" t="s">
        <v>885</v>
      </c>
    </row>
    <row r="7" spans="1:12" ht="48" customHeight="1">
      <c r="A7" s="23" t="s">
        <v>30</v>
      </c>
      <c r="B7" s="24" t="s">
        <v>21</v>
      </c>
      <c r="C7" s="24" t="s">
        <v>11</v>
      </c>
      <c r="D7" s="6" t="s">
        <v>31</v>
      </c>
      <c r="E7" s="14">
        <v>1980</v>
      </c>
      <c r="F7" s="14">
        <v>2223</v>
      </c>
      <c r="G7" s="22">
        <v>19235062.079999998</v>
      </c>
      <c r="H7" s="22">
        <f>G7-I7</f>
        <v>7994098.5299999975</v>
      </c>
      <c r="I7" s="22">
        <v>11240963.550000001</v>
      </c>
      <c r="J7" s="81">
        <v>33787</v>
      </c>
      <c r="K7" s="80" t="s">
        <v>858</v>
      </c>
      <c r="L7" s="78"/>
    </row>
    <row r="8" spans="1:12" ht="48.75" customHeight="1">
      <c r="A8" s="23" t="s">
        <v>32</v>
      </c>
      <c r="B8" s="24" t="s">
        <v>33</v>
      </c>
      <c r="C8" s="24" t="s">
        <v>14</v>
      </c>
      <c r="D8" s="6" t="s">
        <v>31</v>
      </c>
      <c r="E8" s="14">
        <v>1989</v>
      </c>
      <c r="F8" s="14">
        <v>50</v>
      </c>
      <c r="G8" s="22">
        <v>44475.57</v>
      </c>
      <c r="H8" s="22">
        <f>G8-I8</f>
        <v>9346.7699999999968</v>
      </c>
      <c r="I8" s="22">
        <v>35128.800000000003</v>
      </c>
      <c r="J8" s="81">
        <v>33787</v>
      </c>
      <c r="K8" s="80" t="s">
        <v>858</v>
      </c>
      <c r="L8" s="78"/>
    </row>
    <row r="9" spans="1:12" s="39" customFormat="1" ht="27" customHeight="1">
      <c r="A9" s="35"/>
      <c r="B9" s="36" t="s">
        <v>476</v>
      </c>
      <c r="C9" s="36">
        <f>8-6</f>
        <v>2</v>
      </c>
      <c r="D9" s="36" t="s">
        <v>474</v>
      </c>
      <c r="E9" s="37"/>
      <c r="F9" s="37"/>
      <c r="G9" s="38">
        <f>SUM(G7:G8)</f>
        <v>19279537.649999999</v>
      </c>
      <c r="H9" s="38">
        <f>SUM(H7:H8)</f>
        <v>8003445.299999997</v>
      </c>
      <c r="I9" s="38">
        <f>SUM(I7:I8)</f>
        <v>11276092.350000001</v>
      </c>
      <c r="J9" s="79"/>
      <c r="K9" s="79"/>
      <c r="L9" s="79"/>
    </row>
    <row r="10" spans="1:12">
      <c r="A10" s="96"/>
      <c r="B10" s="96"/>
      <c r="C10" s="96"/>
      <c r="D10" s="96"/>
      <c r="E10" s="97"/>
      <c r="F10" s="97"/>
      <c r="G10" s="97"/>
      <c r="H10" s="97"/>
      <c r="I10" s="97"/>
    </row>
    <row r="11" spans="1:12">
      <c r="A11" s="96" t="s">
        <v>847</v>
      </c>
      <c r="B11" s="96"/>
      <c r="C11" s="96"/>
      <c r="D11" s="96"/>
      <c r="E11" s="97"/>
      <c r="F11" s="97"/>
      <c r="G11" s="97"/>
      <c r="H11" s="97"/>
      <c r="I11" s="97"/>
    </row>
    <row r="12" spans="1:12" ht="33.75">
      <c r="A12" s="14" t="s">
        <v>1</v>
      </c>
      <c r="B12" s="14" t="s">
        <v>2</v>
      </c>
      <c r="C12" s="14" t="s">
        <v>3</v>
      </c>
      <c r="D12" s="3" t="s">
        <v>4</v>
      </c>
      <c r="E12" s="14" t="s">
        <v>5</v>
      </c>
      <c r="F12" s="14" t="s">
        <v>6</v>
      </c>
      <c r="G12" s="14" t="s">
        <v>7</v>
      </c>
      <c r="H12" s="2" t="s">
        <v>844</v>
      </c>
      <c r="I12" s="14" t="s">
        <v>8</v>
      </c>
      <c r="J12" s="3" t="s">
        <v>857</v>
      </c>
      <c r="K12" s="3" t="s">
        <v>856</v>
      </c>
      <c r="L12" s="3" t="s">
        <v>885</v>
      </c>
    </row>
    <row r="13" spans="1:12" ht="195" customHeight="1">
      <c r="A13" s="23" t="s">
        <v>9</v>
      </c>
      <c r="B13" s="24" t="s">
        <v>10</v>
      </c>
      <c r="C13" s="24" t="s">
        <v>11</v>
      </c>
      <c r="D13" s="6" t="s">
        <v>12</v>
      </c>
      <c r="E13" s="14">
        <v>1979</v>
      </c>
      <c r="F13" s="14">
        <v>1396.7</v>
      </c>
      <c r="G13" s="22">
        <v>7770599.1900000004</v>
      </c>
      <c r="H13" s="22">
        <f t="shared" ref="H13:H14" si="0">G13-I13</f>
        <v>4309847.9400000004</v>
      </c>
      <c r="I13" s="22">
        <v>3460751.25</v>
      </c>
      <c r="J13" s="81">
        <v>33787</v>
      </c>
      <c r="K13" s="80" t="s">
        <v>858</v>
      </c>
      <c r="L13" s="80" t="s">
        <v>888</v>
      </c>
    </row>
    <row r="14" spans="1:12" ht="48" customHeight="1">
      <c r="A14" s="23" t="s">
        <v>15</v>
      </c>
      <c r="B14" s="24" t="s">
        <v>13</v>
      </c>
      <c r="C14" s="24" t="s">
        <v>14</v>
      </c>
      <c r="D14" s="6" t="s">
        <v>16</v>
      </c>
      <c r="E14" s="14">
        <v>1964</v>
      </c>
      <c r="F14" s="14">
        <v>196.6</v>
      </c>
      <c r="G14" s="22">
        <v>29542.77</v>
      </c>
      <c r="H14" s="22">
        <f t="shared" si="0"/>
        <v>19278.650000000001</v>
      </c>
      <c r="I14" s="22">
        <v>10264.120000000001</v>
      </c>
      <c r="J14" s="81">
        <v>33787</v>
      </c>
      <c r="K14" s="80" t="s">
        <v>858</v>
      </c>
      <c r="L14" s="78"/>
    </row>
    <row r="15" spans="1:12" s="39" customFormat="1" ht="24" customHeight="1">
      <c r="A15" s="35"/>
      <c r="B15" s="36" t="s">
        <v>476</v>
      </c>
      <c r="C15" s="36">
        <f>14-12</f>
        <v>2</v>
      </c>
      <c r="D15" s="36" t="s">
        <v>474</v>
      </c>
      <c r="E15" s="37"/>
      <c r="F15" s="37"/>
      <c r="G15" s="38">
        <f>SUM(G13:G14)</f>
        <v>7800141.96</v>
      </c>
      <c r="H15" s="38">
        <f>SUM(H13:H14)</f>
        <v>4329126.5900000008</v>
      </c>
      <c r="I15" s="38">
        <f>SUM(I13:I14)</f>
        <v>3471015.37</v>
      </c>
      <c r="J15" s="79"/>
      <c r="K15" s="79"/>
      <c r="L15" s="79"/>
    </row>
    <row r="18" spans="1:12">
      <c r="A18" s="96" t="s">
        <v>848</v>
      </c>
      <c r="B18" s="96"/>
      <c r="C18" s="96"/>
      <c r="D18" s="96"/>
      <c r="E18" s="98"/>
      <c r="F18" s="98"/>
      <c r="G18" s="98"/>
      <c r="H18" s="98"/>
      <c r="I18" s="98"/>
    </row>
    <row r="19" spans="1:12" ht="33.75">
      <c r="A19" s="14" t="s">
        <v>1</v>
      </c>
      <c r="B19" s="14" t="s">
        <v>2</v>
      </c>
      <c r="C19" s="14" t="s">
        <v>3</v>
      </c>
      <c r="D19" s="3" t="s">
        <v>4</v>
      </c>
      <c r="E19" s="14" t="s">
        <v>5</v>
      </c>
      <c r="F19" s="14" t="s">
        <v>6</v>
      </c>
      <c r="G19" s="14" t="s">
        <v>7</v>
      </c>
      <c r="H19" s="2" t="s">
        <v>844</v>
      </c>
      <c r="I19" s="14" t="s">
        <v>8</v>
      </c>
      <c r="J19" s="3" t="s">
        <v>857</v>
      </c>
      <c r="K19" s="3" t="s">
        <v>856</v>
      </c>
      <c r="L19" s="3" t="s">
        <v>885</v>
      </c>
    </row>
    <row r="20" spans="1:12" ht="48" customHeight="1">
      <c r="A20" s="23" t="s">
        <v>34</v>
      </c>
      <c r="B20" s="24" t="s">
        <v>21</v>
      </c>
      <c r="C20" s="24" t="s">
        <v>18</v>
      </c>
      <c r="D20" s="6" t="s">
        <v>35</v>
      </c>
      <c r="E20" s="14">
        <v>1990</v>
      </c>
      <c r="F20" s="14">
        <v>2231.1999999999998</v>
      </c>
      <c r="G20" s="22">
        <v>41699844</v>
      </c>
      <c r="H20" s="22">
        <f t="shared" ref="H20:H21" si="1">G20-I20</f>
        <v>11050470</v>
      </c>
      <c r="I20" s="22">
        <v>30649374</v>
      </c>
      <c r="J20" s="81">
        <v>33787</v>
      </c>
      <c r="K20" s="80" t="s">
        <v>858</v>
      </c>
      <c r="L20" s="78"/>
    </row>
    <row r="21" spans="1:12" ht="45.75" customHeight="1">
      <c r="A21" s="23" t="s">
        <v>36</v>
      </c>
      <c r="B21" s="24" t="s">
        <v>37</v>
      </c>
      <c r="C21" s="24" t="s">
        <v>38</v>
      </c>
      <c r="D21" s="6" t="s">
        <v>35</v>
      </c>
      <c r="E21" s="14">
        <v>1990</v>
      </c>
      <c r="F21" s="14">
        <v>72</v>
      </c>
      <c r="G21" s="22">
        <v>222156</v>
      </c>
      <c r="H21" s="22">
        <f t="shared" si="1"/>
        <v>46647</v>
      </c>
      <c r="I21" s="22">
        <v>175509</v>
      </c>
      <c r="J21" s="81">
        <v>33787</v>
      </c>
      <c r="K21" s="80" t="s">
        <v>858</v>
      </c>
      <c r="L21" s="78"/>
    </row>
    <row r="22" spans="1:12" ht="26.25" customHeight="1">
      <c r="A22" s="35"/>
      <c r="B22" s="36" t="s">
        <v>476</v>
      </c>
      <c r="C22" s="36">
        <f>22-20</f>
        <v>2</v>
      </c>
      <c r="D22" s="36" t="s">
        <v>474</v>
      </c>
      <c r="E22" s="37"/>
      <c r="F22" s="37"/>
      <c r="G22" s="38">
        <f>SUM(G20:G21)</f>
        <v>41922000</v>
      </c>
      <c r="H22" s="38">
        <f>SUM(H20:H21)</f>
        <v>11097117</v>
      </c>
      <c r="I22" s="38">
        <f>SUM(I20:I21)</f>
        <v>30824883</v>
      </c>
      <c r="J22" s="79"/>
      <c r="K22" s="79"/>
      <c r="L22" s="78"/>
    </row>
    <row r="24" spans="1:12">
      <c r="A24" s="99" t="s">
        <v>849</v>
      </c>
      <c r="B24" s="99"/>
      <c r="C24" s="99"/>
      <c r="D24" s="99"/>
      <c r="E24" s="97"/>
      <c r="F24" s="97"/>
      <c r="G24" s="97"/>
      <c r="H24" s="97"/>
      <c r="I24" s="97"/>
    </row>
    <row r="25" spans="1:12" ht="33.75">
      <c r="A25" s="19" t="s">
        <v>1</v>
      </c>
      <c r="B25" s="19" t="s">
        <v>2</v>
      </c>
      <c r="C25" s="19" t="s">
        <v>3</v>
      </c>
      <c r="D25" s="9" t="s">
        <v>4</v>
      </c>
      <c r="E25" s="19" t="s">
        <v>5</v>
      </c>
      <c r="F25" s="14" t="s">
        <v>6</v>
      </c>
      <c r="G25" s="19" t="s">
        <v>7</v>
      </c>
      <c r="H25" s="2" t="s">
        <v>844</v>
      </c>
      <c r="I25" s="19" t="s">
        <v>8</v>
      </c>
      <c r="J25" s="3" t="s">
        <v>857</v>
      </c>
      <c r="K25" s="3" t="s">
        <v>856</v>
      </c>
      <c r="L25" s="3" t="s">
        <v>885</v>
      </c>
    </row>
    <row r="26" spans="1:12" ht="45.75" customHeight="1">
      <c r="A26" s="17" t="s">
        <v>39</v>
      </c>
      <c r="B26" s="18" t="s">
        <v>21</v>
      </c>
      <c r="C26" s="18" t="s">
        <v>18</v>
      </c>
      <c r="D26" s="12" t="s">
        <v>40</v>
      </c>
      <c r="E26" s="19">
        <v>1974</v>
      </c>
      <c r="F26" s="19">
        <v>1861.3</v>
      </c>
      <c r="G26" s="20">
        <v>9630965.9700000007</v>
      </c>
      <c r="H26" s="22">
        <f t="shared" ref="H26:H29" si="2">G26-I26</f>
        <v>5323943.7200000007</v>
      </c>
      <c r="I26" s="20">
        <v>4307022.25</v>
      </c>
      <c r="J26" s="81">
        <v>33787</v>
      </c>
      <c r="K26" s="80" t="s">
        <v>858</v>
      </c>
      <c r="L26" s="78"/>
    </row>
    <row r="27" spans="1:12" ht="46.5" customHeight="1">
      <c r="A27" s="17" t="s">
        <v>41</v>
      </c>
      <c r="B27" s="18" t="s">
        <v>13</v>
      </c>
      <c r="C27" s="18" t="s">
        <v>14</v>
      </c>
      <c r="D27" s="12" t="s">
        <v>40</v>
      </c>
      <c r="E27" s="19">
        <v>1986</v>
      </c>
      <c r="F27" s="19">
        <v>114</v>
      </c>
      <c r="G27" s="20">
        <v>41026.949999999997</v>
      </c>
      <c r="H27" s="22">
        <f t="shared" si="2"/>
        <v>41026.949999999997</v>
      </c>
      <c r="I27" s="20">
        <v>0</v>
      </c>
      <c r="J27" s="81">
        <v>33787</v>
      </c>
      <c r="K27" s="80" t="s">
        <v>858</v>
      </c>
      <c r="L27" s="78"/>
    </row>
    <row r="28" spans="1:12" ht="45.75" customHeight="1">
      <c r="A28" s="17" t="s">
        <v>42</v>
      </c>
      <c r="B28" s="18" t="s">
        <v>43</v>
      </c>
      <c r="C28" s="18" t="s">
        <v>14</v>
      </c>
      <c r="D28" s="12" t="s">
        <v>40</v>
      </c>
      <c r="E28" s="19">
        <v>1970</v>
      </c>
      <c r="F28" s="19">
        <v>225</v>
      </c>
      <c r="G28" s="20">
        <v>467938.26</v>
      </c>
      <c r="H28" s="22">
        <f t="shared" si="2"/>
        <v>467938.26</v>
      </c>
      <c r="I28" s="20">
        <v>0</v>
      </c>
      <c r="J28" s="81">
        <v>33787</v>
      </c>
      <c r="K28" s="80" t="s">
        <v>858</v>
      </c>
      <c r="L28" s="78"/>
    </row>
    <row r="29" spans="1:12" ht="47.25" customHeight="1">
      <c r="A29" s="17" t="s">
        <v>44</v>
      </c>
      <c r="B29" s="18" t="s">
        <v>45</v>
      </c>
      <c r="C29" s="18" t="s">
        <v>14</v>
      </c>
      <c r="D29" s="12" t="s">
        <v>46</v>
      </c>
      <c r="E29" s="19">
        <v>1975</v>
      </c>
      <c r="F29" s="19">
        <v>212.5</v>
      </c>
      <c r="G29" s="20">
        <v>682259.13</v>
      </c>
      <c r="H29" s="22">
        <f t="shared" si="2"/>
        <v>490528.2</v>
      </c>
      <c r="I29" s="20">
        <v>191730.93</v>
      </c>
      <c r="J29" s="81">
        <v>33787</v>
      </c>
      <c r="K29" s="80" t="s">
        <v>858</v>
      </c>
      <c r="L29" s="78"/>
    </row>
    <row r="30" spans="1:12" ht="21" customHeight="1">
      <c r="A30" s="35"/>
      <c r="B30" s="36" t="s">
        <v>476</v>
      </c>
      <c r="C30" s="36">
        <f>30-26</f>
        <v>4</v>
      </c>
      <c r="D30" s="36" t="s">
        <v>474</v>
      </c>
      <c r="E30" s="37"/>
      <c r="F30" s="37"/>
      <c r="G30" s="38">
        <f>SUM(G26:G29)</f>
        <v>10822190.310000001</v>
      </c>
      <c r="H30" s="38">
        <f>SUM(H26:H29)</f>
        <v>6323437.1300000008</v>
      </c>
      <c r="I30" s="38">
        <f>SUM(I26:I29)</f>
        <v>4498753.18</v>
      </c>
      <c r="J30" s="78"/>
      <c r="K30" s="78"/>
      <c r="L30" s="78"/>
    </row>
    <row r="32" spans="1:12">
      <c r="A32" s="96" t="s">
        <v>859</v>
      </c>
      <c r="B32" s="96"/>
      <c r="C32" s="96"/>
      <c r="D32" s="96"/>
      <c r="E32" s="97"/>
      <c r="F32" s="97"/>
      <c r="G32" s="97"/>
      <c r="H32" s="97"/>
      <c r="I32" s="97"/>
    </row>
    <row r="33" spans="1:12" ht="33.75">
      <c r="A33" s="14" t="s">
        <v>1</v>
      </c>
      <c r="B33" s="14" t="s">
        <v>2</v>
      </c>
      <c r="C33" s="14" t="s">
        <v>3</v>
      </c>
      <c r="D33" s="3" t="s">
        <v>4</v>
      </c>
      <c r="E33" s="14" t="s">
        <v>5</v>
      </c>
      <c r="F33" s="14" t="s">
        <v>6</v>
      </c>
      <c r="G33" s="14" t="s">
        <v>7</v>
      </c>
      <c r="H33" s="2" t="s">
        <v>844</v>
      </c>
      <c r="I33" s="14" t="s">
        <v>8</v>
      </c>
      <c r="J33" s="3" t="s">
        <v>857</v>
      </c>
      <c r="K33" s="3" t="s">
        <v>856</v>
      </c>
      <c r="L33" s="3" t="s">
        <v>885</v>
      </c>
    </row>
    <row r="34" spans="1:12" ht="47.25" customHeight="1">
      <c r="A34" s="23" t="s">
        <v>47</v>
      </c>
      <c r="B34" s="24" t="s">
        <v>21</v>
      </c>
      <c r="C34" s="24" t="s">
        <v>18</v>
      </c>
      <c r="D34" s="6" t="s">
        <v>48</v>
      </c>
      <c r="E34" s="14">
        <v>1970</v>
      </c>
      <c r="F34" s="14">
        <v>914.9</v>
      </c>
      <c r="G34" s="22">
        <v>2946096.09</v>
      </c>
      <c r="H34" s="22">
        <f t="shared" ref="H34:H35" si="3">G34-I34</f>
        <v>2946096.09</v>
      </c>
      <c r="I34" s="22">
        <v>0</v>
      </c>
      <c r="J34" s="81">
        <v>33787</v>
      </c>
      <c r="K34" s="80" t="s">
        <v>858</v>
      </c>
      <c r="L34" s="78"/>
    </row>
    <row r="35" spans="1:12" ht="126" customHeight="1">
      <c r="A35" s="23" t="s">
        <v>49</v>
      </c>
      <c r="B35" s="42" t="s">
        <v>475</v>
      </c>
      <c r="C35" s="24" t="s">
        <v>18</v>
      </c>
      <c r="D35" s="6" t="s">
        <v>50</v>
      </c>
      <c r="E35" s="14">
        <v>1987</v>
      </c>
      <c r="F35" s="14">
        <v>530.5</v>
      </c>
      <c r="G35" s="22">
        <v>8767639.2200000007</v>
      </c>
      <c r="H35" s="22">
        <f t="shared" si="3"/>
        <v>4946722.2600000007</v>
      </c>
      <c r="I35" s="22">
        <v>3820916.96</v>
      </c>
      <c r="J35" s="81">
        <v>33787</v>
      </c>
      <c r="K35" s="80" t="s">
        <v>858</v>
      </c>
      <c r="L35" s="80" t="s">
        <v>886</v>
      </c>
    </row>
    <row r="36" spans="1:12" ht="21" customHeight="1">
      <c r="A36" s="35"/>
      <c r="B36" s="36" t="s">
        <v>476</v>
      </c>
      <c r="C36" s="36">
        <f>36-34</f>
        <v>2</v>
      </c>
      <c r="D36" s="36" t="s">
        <v>474</v>
      </c>
      <c r="E36" s="37"/>
      <c r="F36" s="37"/>
      <c r="G36" s="38">
        <f>SUM(G34:G35)</f>
        <v>11713735.310000001</v>
      </c>
      <c r="H36" s="38">
        <f>SUM(H34:H35)</f>
        <v>7892818.3500000006</v>
      </c>
      <c r="I36" s="38">
        <f>SUM(I34:I35)</f>
        <v>3820916.96</v>
      </c>
      <c r="J36" s="81"/>
      <c r="K36" s="80"/>
      <c r="L36" s="78"/>
    </row>
    <row r="38" spans="1:12">
      <c r="A38" s="96" t="s">
        <v>850</v>
      </c>
      <c r="B38" s="96"/>
      <c r="C38" s="96"/>
      <c r="D38" s="96"/>
      <c r="E38" s="97"/>
      <c r="F38" s="97"/>
      <c r="G38" s="97"/>
      <c r="H38" s="97"/>
      <c r="I38" s="97"/>
    </row>
    <row r="39" spans="1:12" ht="33.75">
      <c r="A39" s="14" t="s">
        <v>1</v>
      </c>
      <c r="B39" s="14" t="s">
        <v>2</v>
      </c>
      <c r="C39" s="14" t="s">
        <v>3</v>
      </c>
      <c r="D39" s="3" t="s">
        <v>4</v>
      </c>
      <c r="E39" s="14" t="s">
        <v>5</v>
      </c>
      <c r="F39" s="14" t="s">
        <v>6</v>
      </c>
      <c r="G39" s="14" t="s">
        <v>7</v>
      </c>
      <c r="H39" s="2" t="s">
        <v>844</v>
      </c>
      <c r="I39" s="14" t="s">
        <v>8</v>
      </c>
      <c r="J39" s="3" t="s">
        <v>857</v>
      </c>
      <c r="K39" s="3" t="s">
        <v>856</v>
      </c>
      <c r="L39" s="3" t="s">
        <v>885</v>
      </c>
    </row>
    <row r="40" spans="1:12" ht="108.75" customHeight="1">
      <c r="A40" s="23" t="s">
        <v>20</v>
      </c>
      <c r="B40" s="24" t="s">
        <v>21</v>
      </c>
      <c r="C40" s="24" t="s">
        <v>18</v>
      </c>
      <c r="D40" s="6" t="s">
        <v>22</v>
      </c>
      <c r="E40" s="14">
        <v>1991</v>
      </c>
      <c r="F40" s="14">
        <v>6708.4</v>
      </c>
      <c r="G40" s="22">
        <v>42791514.299999997</v>
      </c>
      <c r="H40" s="22">
        <f t="shared" ref="H40:H43" si="4">G40-I40</f>
        <v>8820130.8799999952</v>
      </c>
      <c r="I40" s="22">
        <v>33971383.420000002</v>
      </c>
      <c r="J40" s="81">
        <v>33787</v>
      </c>
      <c r="K40" s="80" t="s">
        <v>858</v>
      </c>
      <c r="L40" s="80" t="s">
        <v>890</v>
      </c>
    </row>
    <row r="41" spans="1:12" ht="54" customHeight="1">
      <c r="A41" s="23" t="s">
        <v>23</v>
      </c>
      <c r="B41" s="24" t="s">
        <v>24</v>
      </c>
      <c r="C41" s="24" t="s">
        <v>25</v>
      </c>
      <c r="D41" s="6" t="s">
        <v>26</v>
      </c>
      <c r="E41" s="14">
        <v>1970</v>
      </c>
      <c r="F41" s="14">
        <v>147</v>
      </c>
      <c r="G41" s="22">
        <v>335747.79</v>
      </c>
      <c r="H41" s="22">
        <f t="shared" si="4"/>
        <v>335747.79</v>
      </c>
      <c r="I41" s="22">
        <v>0</v>
      </c>
      <c r="J41" s="81">
        <v>33787</v>
      </c>
      <c r="K41" s="80" t="s">
        <v>858</v>
      </c>
      <c r="L41" s="78"/>
    </row>
    <row r="42" spans="1:12" ht="54" customHeight="1">
      <c r="A42" s="23" t="s">
        <v>27</v>
      </c>
      <c r="B42" s="24" t="s">
        <v>28</v>
      </c>
      <c r="C42" s="24" t="s">
        <v>25</v>
      </c>
      <c r="D42" s="6" t="s">
        <v>29</v>
      </c>
      <c r="E42" s="14">
        <v>1972</v>
      </c>
      <c r="F42" s="14">
        <v>286</v>
      </c>
      <c r="G42" s="22">
        <v>701916.57</v>
      </c>
      <c r="H42" s="22">
        <f t="shared" si="4"/>
        <v>701916.57</v>
      </c>
      <c r="I42" s="22">
        <v>0</v>
      </c>
      <c r="J42" s="81">
        <v>33787</v>
      </c>
      <c r="K42" s="80" t="s">
        <v>858</v>
      </c>
      <c r="L42" s="78"/>
    </row>
    <row r="43" spans="1:12" ht="54" customHeight="1">
      <c r="A43" s="23" t="s">
        <v>469</v>
      </c>
      <c r="B43" s="24" t="s">
        <v>55</v>
      </c>
      <c r="C43" s="24" t="s">
        <v>14</v>
      </c>
      <c r="D43" s="6" t="s">
        <v>51</v>
      </c>
      <c r="E43" s="14">
        <v>1988</v>
      </c>
      <c r="F43" s="14">
        <v>158</v>
      </c>
      <c r="G43" s="22">
        <v>1752292.17</v>
      </c>
      <c r="H43" s="22">
        <f t="shared" si="4"/>
        <v>1752292.17</v>
      </c>
      <c r="I43" s="22">
        <v>0</v>
      </c>
      <c r="J43" s="81">
        <v>33787</v>
      </c>
      <c r="K43" s="80" t="s">
        <v>858</v>
      </c>
      <c r="L43" s="78"/>
    </row>
    <row r="44" spans="1:12" ht="24.75" customHeight="1">
      <c r="A44" s="35"/>
      <c r="B44" s="36" t="s">
        <v>476</v>
      </c>
      <c r="C44" s="36">
        <f>44-40</f>
        <v>4</v>
      </c>
      <c r="D44" s="36" t="s">
        <v>474</v>
      </c>
      <c r="E44" s="37"/>
      <c r="F44" s="37"/>
      <c r="G44" s="38">
        <f>SUM(G40:G43)</f>
        <v>45581470.829999998</v>
      </c>
      <c r="H44" s="38">
        <f>SUM(H40:H43)</f>
        <v>11610087.409999995</v>
      </c>
      <c r="I44" s="38">
        <f>SUM(I40:I43)</f>
        <v>33971383.420000002</v>
      </c>
      <c r="J44" s="81"/>
      <c r="K44" s="80"/>
      <c r="L44" s="78"/>
    </row>
    <row r="46" spans="1:12">
      <c r="A46" s="96" t="s">
        <v>851</v>
      </c>
      <c r="B46" s="96"/>
      <c r="C46" s="96"/>
      <c r="D46" s="96"/>
      <c r="E46" s="98"/>
      <c r="F46" s="98"/>
      <c r="G46" s="98"/>
      <c r="H46" s="98"/>
      <c r="I46" s="98"/>
    </row>
    <row r="47" spans="1:12" ht="33.75">
      <c r="A47" s="14" t="s">
        <v>1</v>
      </c>
      <c r="B47" s="14" t="s">
        <v>2</v>
      </c>
      <c r="C47" s="14" t="s">
        <v>3</v>
      </c>
      <c r="D47" s="3" t="s">
        <v>4</v>
      </c>
      <c r="E47" s="14" t="s">
        <v>5</v>
      </c>
      <c r="F47" s="14" t="s">
        <v>6</v>
      </c>
      <c r="G47" s="14" t="s">
        <v>7</v>
      </c>
      <c r="H47" s="2" t="s">
        <v>844</v>
      </c>
      <c r="I47" s="14" t="s">
        <v>8</v>
      </c>
      <c r="J47" s="3" t="s">
        <v>857</v>
      </c>
      <c r="K47" s="3" t="s">
        <v>856</v>
      </c>
      <c r="L47" s="3" t="s">
        <v>885</v>
      </c>
    </row>
    <row r="48" spans="1:12" ht="50.25" customHeight="1">
      <c r="A48" s="23" t="s">
        <v>59</v>
      </c>
      <c r="B48" s="24" t="s">
        <v>57</v>
      </c>
      <c r="C48" s="24" t="s">
        <v>18</v>
      </c>
      <c r="D48" s="6" t="s">
        <v>60</v>
      </c>
      <c r="E48" s="14">
        <v>1971</v>
      </c>
      <c r="F48" s="14">
        <v>868.4</v>
      </c>
      <c r="G48" s="22">
        <v>5373990.2999999998</v>
      </c>
      <c r="H48" s="22">
        <f t="shared" ref="H48" si="5">G48-I48</f>
        <v>5373990.2999999998</v>
      </c>
      <c r="I48" s="22">
        <v>0</v>
      </c>
      <c r="J48" s="81">
        <v>33787</v>
      </c>
      <c r="K48" s="80" t="s">
        <v>858</v>
      </c>
      <c r="L48" s="78"/>
    </row>
    <row r="49" spans="1:12" ht="23.25" customHeight="1">
      <c r="A49" s="35"/>
      <c r="B49" s="36" t="s">
        <v>476</v>
      </c>
      <c r="C49" s="36">
        <v>1</v>
      </c>
      <c r="D49" s="36" t="s">
        <v>474</v>
      </c>
      <c r="E49" s="37"/>
      <c r="F49" s="37"/>
      <c r="G49" s="38">
        <f>G48</f>
        <v>5373990.2999999998</v>
      </c>
      <c r="H49" s="38">
        <f>H48</f>
        <v>5373990.2999999998</v>
      </c>
      <c r="I49" s="38">
        <f>I48</f>
        <v>0</v>
      </c>
      <c r="J49" s="78"/>
      <c r="K49" s="78"/>
      <c r="L49" s="78"/>
    </row>
    <row r="50" spans="1:12">
      <c r="A50" s="96"/>
      <c r="B50" s="96"/>
      <c r="C50" s="96"/>
      <c r="D50" s="96"/>
      <c r="E50" s="97"/>
      <c r="F50" s="97"/>
      <c r="G50" s="97"/>
      <c r="H50" s="97"/>
      <c r="I50" s="97"/>
    </row>
    <row r="51" spans="1:12">
      <c r="A51" s="96" t="s">
        <v>852</v>
      </c>
      <c r="B51" s="96"/>
      <c r="C51" s="96"/>
      <c r="D51" s="96"/>
      <c r="E51" s="97"/>
      <c r="F51" s="97"/>
      <c r="G51" s="97"/>
      <c r="H51" s="97"/>
      <c r="I51" s="97"/>
    </row>
    <row r="52" spans="1:12" ht="33.75">
      <c r="A52" s="14" t="s">
        <v>1</v>
      </c>
      <c r="B52" s="14" t="s">
        <v>2</v>
      </c>
      <c r="C52" s="14" t="s">
        <v>3</v>
      </c>
      <c r="D52" s="3" t="s">
        <v>4</v>
      </c>
      <c r="E52" s="14" t="s">
        <v>5</v>
      </c>
      <c r="F52" s="14" t="s">
        <v>6</v>
      </c>
      <c r="G52" s="14" t="s">
        <v>7</v>
      </c>
      <c r="H52" s="2" t="s">
        <v>844</v>
      </c>
      <c r="I52" s="14" t="s">
        <v>8</v>
      </c>
      <c r="J52" s="3" t="s">
        <v>857</v>
      </c>
      <c r="K52" s="3" t="s">
        <v>856</v>
      </c>
      <c r="L52" s="3" t="s">
        <v>885</v>
      </c>
    </row>
    <row r="53" spans="1:12" ht="48" customHeight="1">
      <c r="A53" s="23" t="s">
        <v>56</v>
      </c>
      <c r="B53" s="24" t="s">
        <v>57</v>
      </c>
      <c r="C53" s="24" t="s">
        <v>18</v>
      </c>
      <c r="D53" s="6" t="s">
        <v>58</v>
      </c>
      <c r="E53" s="14">
        <v>1983</v>
      </c>
      <c r="F53" s="14">
        <v>1062.7</v>
      </c>
      <c r="G53" s="22">
        <v>9599151.1500000004</v>
      </c>
      <c r="H53" s="22">
        <f t="shared" ref="H53" si="6">G53-I53</f>
        <v>4968599.7</v>
      </c>
      <c r="I53" s="22">
        <v>4630551.45</v>
      </c>
      <c r="J53" s="81">
        <v>33787</v>
      </c>
      <c r="K53" s="80" t="s">
        <v>858</v>
      </c>
      <c r="L53" s="78"/>
    </row>
    <row r="54" spans="1:12" ht="24.75" customHeight="1">
      <c r="A54" s="35"/>
      <c r="B54" s="36" t="s">
        <v>476</v>
      </c>
      <c r="C54" s="36">
        <v>1</v>
      </c>
      <c r="D54" s="36" t="s">
        <v>474</v>
      </c>
      <c r="E54" s="37"/>
      <c r="F54" s="37"/>
      <c r="G54" s="38">
        <f>G53</f>
        <v>9599151.1500000004</v>
      </c>
      <c r="H54" s="38">
        <f>H53</f>
        <v>4968599.7</v>
      </c>
      <c r="I54" s="38">
        <f>I53</f>
        <v>4630551.45</v>
      </c>
      <c r="J54" s="78"/>
      <c r="K54" s="78"/>
      <c r="L54" s="78"/>
    </row>
    <row r="57" spans="1:12">
      <c r="A57" s="96" t="s">
        <v>853</v>
      </c>
      <c r="B57" s="96"/>
      <c r="C57" s="96"/>
      <c r="D57" s="96"/>
      <c r="E57" s="98"/>
      <c r="F57" s="98"/>
      <c r="G57" s="98"/>
      <c r="H57" s="98"/>
      <c r="I57" s="98"/>
    </row>
    <row r="58" spans="1:12" ht="33.75">
      <c r="A58" s="14" t="s">
        <v>1</v>
      </c>
      <c r="B58" s="14" t="s">
        <v>2</v>
      </c>
      <c r="C58" s="14" t="s">
        <v>3</v>
      </c>
      <c r="D58" s="3" t="s">
        <v>4</v>
      </c>
      <c r="E58" s="14" t="s">
        <v>5</v>
      </c>
      <c r="F58" s="14" t="s">
        <v>6</v>
      </c>
      <c r="G58" s="14" t="s">
        <v>7</v>
      </c>
      <c r="H58" s="2" t="s">
        <v>844</v>
      </c>
      <c r="I58" s="14" t="s">
        <v>8</v>
      </c>
      <c r="J58" s="3" t="s">
        <v>857</v>
      </c>
      <c r="K58" s="3" t="s">
        <v>856</v>
      </c>
      <c r="L58" s="3" t="s">
        <v>885</v>
      </c>
    </row>
    <row r="59" spans="1:12" ht="51" customHeight="1">
      <c r="A59" s="23" t="s">
        <v>61</v>
      </c>
      <c r="B59" s="24" t="s">
        <v>62</v>
      </c>
      <c r="C59" s="24" t="s">
        <v>18</v>
      </c>
      <c r="D59" s="6" t="s">
        <v>63</v>
      </c>
      <c r="E59" s="14">
        <v>1970</v>
      </c>
      <c r="F59" s="14">
        <v>93.1</v>
      </c>
      <c r="G59" s="22">
        <v>868841</v>
      </c>
      <c r="H59" s="22">
        <f t="shared" ref="H59:H60" si="7">G59-I59</f>
        <v>863102.37</v>
      </c>
      <c r="I59" s="22">
        <v>5738.63</v>
      </c>
      <c r="J59" s="81">
        <v>33787</v>
      </c>
      <c r="K59" s="80" t="s">
        <v>858</v>
      </c>
      <c r="L59" s="78"/>
    </row>
    <row r="60" spans="1:12" ht="51" customHeight="1">
      <c r="A60" s="23" t="s">
        <v>64</v>
      </c>
      <c r="B60" s="24" t="s">
        <v>33</v>
      </c>
      <c r="C60" s="24" t="s">
        <v>14</v>
      </c>
      <c r="D60" s="6" t="s">
        <v>63</v>
      </c>
      <c r="E60" s="14">
        <v>2008</v>
      </c>
      <c r="F60" s="14">
        <v>32</v>
      </c>
      <c r="G60" s="22">
        <v>92887.97</v>
      </c>
      <c r="H60" s="22">
        <f t="shared" si="7"/>
        <v>9056.5200000000041</v>
      </c>
      <c r="I60" s="22">
        <v>83831.45</v>
      </c>
      <c r="J60" s="81">
        <v>33787</v>
      </c>
      <c r="K60" s="80" t="s">
        <v>858</v>
      </c>
      <c r="L60" s="78"/>
    </row>
    <row r="61" spans="1:12" ht="27.75" customHeight="1">
      <c r="A61" s="35"/>
      <c r="B61" s="36" t="s">
        <v>476</v>
      </c>
      <c r="C61" s="36">
        <f>61-59</f>
        <v>2</v>
      </c>
      <c r="D61" s="36" t="s">
        <v>474</v>
      </c>
      <c r="E61" s="37"/>
      <c r="F61" s="37"/>
      <c r="G61" s="38">
        <f>SUM(G59:G60)</f>
        <v>961728.97</v>
      </c>
      <c r="H61" s="38">
        <f>SUM(H59:H60)</f>
        <v>872158.89</v>
      </c>
      <c r="I61" s="38">
        <f>SUM(I59:I60)</f>
        <v>89570.08</v>
      </c>
      <c r="J61" s="81"/>
      <c r="K61" s="80"/>
      <c r="L61" s="78"/>
    </row>
    <row r="63" spans="1:12">
      <c r="A63" s="96" t="s">
        <v>854</v>
      </c>
      <c r="B63" s="96"/>
      <c r="C63" s="96"/>
      <c r="D63" s="96"/>
      <c r="E63" s="98"/>
      <c r="F63" s="98"/>
      <c r="G63" s="98"/>
      <c r="H63" s="98"/>
      <c r="I63" s="98"/>
    </row>
    <row r="64" spans="1:12" ht="33.75">
      <c r="A64" s="14" t="s">
        <v>1</v>
      </c>
      <c r="B64" s="14" t="s">
        <v>2</v>
      </c>
      <c r="C64" s="14" t="s">
        <v>3</v>
      </c>
      <c r="D64" s="3" t="s">
        <v>4</v>
      </c>
      <c r="E64" s="14" t="s">
        <v>5</v>
      </c>
      <c r="F64" s="14" t="s">
        <v>6</v>
      </c>
      <c r="G64" s="14" t="s">
        <v>7</v>
      </c>
      <c r="H64" s="2" t="s">
        <v>844</v>
      </c>
      <c r="I64" s="14" t="s">
        <v>8</v>
      </c>
      <c r="J64" s="3" t="s">
        <v>857</v>
      </c>
      <c r="K64" s="3" t="s">
        <v>856</v>
      </c>
      <c r="L64" s="3" t="s">
        <v>885</v>
      </c>
    </row>
    <row r="65" spans="1:12" ht="53.25" customHeight="1">
      <c r="A65" s="23" t="s">
        <v>66</v>
      </c>
      <c r="B65" s="24" t="s">
        <v>67</v>
      </c>
      <c r="C65" s="24" t="s">
        <v>14</v>
      </c>
      <c r="D65" s="6" t="s">
        <v>65</v>
      </c>
      <c r="E65" s="14">
        <v>1990</v>
      </c>
      <c r="F65" s="14">
        <v>26.8</v>
      </c>
      <c r="G65" s="22">
        <v>165302.73000000001</v>
      </c>
      <c r="H65" s="22">
        <f t="shared" ref="H65:H68" si="8">G65-I65</f>
        <v>105792.69</v>
      </c>
      <c r="I65" s="22">
        <v>59510.04</v>
      </c>
      <c r="J65" s="81">
        <v>33787</v>
      </c>
      <c r="K65" s="80" t="s">
        <v>858</v>
      </c>
      <c r="L65" s="78"/>
    </row>
    <row r="66" spans="1:12" ht="53.25" customHeight="1">
      <c r="A66" s="23" t="s">
        <v>68</v>
      </c>
      <c r="B66" s="24" t="s">
        <v>69</v>
      </c>
      <c r="C66" s="24" t="s">
        <v>18</v>
      </c>
      <c r="D66" s="6" t="s">
        <v>70</v>
      </c>
      <c r="E66" s="14">
        <v>1985</v>
      </c>
      <c r="F66" s="14">
        <v>917.9</v>
      </c>
      <c r="G66" s="22">
        <v>5574253.5899999999</v>
      </c>
      <c r="H66" s="22">
        <f t="shared" si="8"/>
        <v>3369402.5</v>
      </c>
      <c r="I66" s="22">
        <v>2204851.09</v>
      </c>
      <c r="J66" s="81">
        <v>33787</v>
      </c>
      <c r="K66" s="80" t="s">
        <v>858</v>
      </c>
      <c r="L66" s="78"/>
    </row>
    <row r="67" spans="1:12" ht="53.25" customHeight="1">
      <c r="A67" s="23" t="s">
        <v>71</v>
      </c>
      <c r="B67" s="24" t="s">
        <v>72</v>
      </c>
      <c r="C67" s="24" t="s">
        <v>18</v>
      </c>
      <c r="D67" s="6" t="s">
        <v>73</v>
      </c>
      <c r="E67" s="14"/>
      <c r="F67" s="14">
        <v>10602.4</v>
      </c>
      <c r="G67" s="22">
        <v>0</v>
      </c>
      <c r="H67" s="22">
        <f t="shared" si="8"/>
        <v>0</v>
      </c>
      <c r="I67" s="22">
        <v>0</v>
      </c>
      <c r="J67" s="81">
        <v>33787</v>
      </c>
      <c r="K67" s="80" t="s">
        <v>858</v>
      </c>
      <c r="L67" s="78"/>
    </row>
    <row r="68" spans="1:12" ht="53.25" customHeight="1">
      <c r="A68" s="23" t="s">
        <v>74</v>
      </c>
      <c r="B68" s="24" t="s">
        <v>75</v>
      </c>
      <c r="C68" s="24" t="s">
        <v>18</v>
      </c>
      <c r="D68" s="6" t="s">
        <v>73</v>
      </c>
      <c r="E68" s="14">
        <v>2010</v>
      </c>
      <c r="F68" s="14">
        <v>800</v>
      </c>
      <c r="G68" s="22">
        <v>901331</v>
      </c>
      <c r="H68" s="22">
        <f t="shared" si="8"/>
        <v>2503.6999999999534</v>
      </c>
      <c r="I68" s="22">
        <v>898827.3</v>
      </c>
      <c r="J68" s="81">
        <v>33787</v>
      </c>
      <c r="K68" s="80" t="s">
        <v>858</v>
      </c>
      <c r="L68" s="78"/>
    </row>
    <row r="69" spans="1:12" ht="53.25" customHeight="1">
      <c r="A69" s="23" t="s">
        <v>470</v>
      </c>
      <c r="B69" s="5" t="s">
        <v>845</v>
      </c>
      <c r="C69" s="24" t="s">
        <v>18</v>
      </c>
      <c r="D69" s="6" t="s">
        <v>472</v>
      </c>
      <c r="E69" s="14"/>
      <c r="F69" s="14">
        <v>288.89999999999998</v>
      </c>
      <c r="G69" s="22">
        <v>1439275</v>
      </c>
      <c r="H69" s="22">
        <f t="shared" ref="H69:H72" si="9">G69-I69</f>
        <v>792306.02</v>
      </c>
      <c r="I69" s="22">
        <v>646968.98</v>
      </c>
      <c r="J69" s="81">
        <v>33787</v>
      </c>
      <c r="K69" s="80" t="s">
        <v>858</v>
      </c>
      <c r="L69" s="78"/>
    </row>
    <row r="70" spans="1:12" ht="53.25" customHeight="1">
      <c r="A70" s="23" t="s">
        <v>471</v>
      </c>
      <c r="B70" s="5" t="s">
        <v>846</v>
      </c>
      <c r="C70" s="24" t="s">
        <v>18</v>
      </c>
      <c r="D70" s="6" t="s">
        <v>473</v>
      </c>
      <c r="E70" s="14"/>
      <c r="F70" s="14">
        <v>22.7</v>
      </c>
      <c r="G70" s="22">
        <v>56720</v>
      </c>
      <c r="H70" s="22">
        <f t="shared" si="9"/>
        <v>46339.63</v>
      </c>
      <c r="I70" s="22">
        <v>10380.370000000001</v>
      </c>
      <c r="J70" s="81">
        <v>33787</v>
      </c>
      <c r="K70" s="80" t="s">
        <v>858</v>
      </c>
      <c r="L70" s="78"/>
    </row>
    <row r="71" spans="1:12" ht="53.25" customHeight="1">
      <c r="A71" s="4" t="s">
        <v>896</v>
      </c>
      <c r="B71" s="5" t="s">
        <v>898</v>
      </c>
      <c r="C71" s="24" t="s">
        <v>18</v>
      </c>
      <c r="D71" s="6" t="s">
        <v>65</v>
      </c>
      <c r="E71" s="14">
        <v>1982</v>
      </c>
      <c r="F71" s="14">
        <v>194.4</v>
      </c>
      <c r="G71" s="22">
        <v>1827247.9</v>
      </c>
      <c r="H71" s="22">
        <f t="shared" si="9"/>
        <v>1460520.13</v>
      </c>
      <c r="I71" s="22">
        <v>366727.77</v>
      </c>
      <c r="J71" s="81">
        <v>33787</v>
      </c>
      <c r="K71" s="80" t="s">
        <v>858</v>
      </c>
      <c r="L71" s="78"/>
    </row>
    <row r="72" spans="1:12" ht="53.25" customHeight="1">
      <c r="A72" s="4" t="s">
        <v>897</v>
      </c>
      <c r="B72" s="5" t="s">
        <v>92</v>
      </c>
      <c r="C72" s="5" t="s">
        <v>93</v>
      </c>
      <c r="D72" s="6" t="s">
        <v>65</v>
      </c>
      <c r="E72" s="14">
        <v>1982</v>
      </c>
      <c r="F72" s="14">
        <f>248.1-F71</f>
        <v>53.699999999999989</v>
      </c>
      <c r="G72" s="22">
        <v>504749.03</v>
      </c>
      <c r="H72" s="22">
        <f t="shared" si="9"/>
        <v>403446.14</v>
      </c>
      <c r="I72" s="22">
        <v>101302.89</v>
      </c>
      <c r="J72" s="81">
        <v>33787</v>
      </c>
      <c r="K72" s="80" t="s">
        <v>858</v>
      </c>
      <c r="L72" s="78"/>
    </row>
    <row r="73" spans="1:12" ht="22.5" customHeight="1">
      <c r="A73" s="35"/>
      <c r="B73" s="36" t="s">
        <v>476</v>
      </c>
      <c r="C73" s="36">
        <f>72-64</f>
        <v>8</v>
      </c>
      <c r="D73" s="36" t="s">
        <v>474</v>
      </c>
      <c r="E73" s="37"/>
      <c r="F73" s="37"/>
      <c r="G73" s="38">
        <f>SUM(G65:G72)</f>
        <v>10468879.25</v>
      </c>
      <c r="H73" s="38">
        <f>SUM(H65:H72)</f>
        <v>6180310.8099999996</v>
      </c>
      <c r="I73" s="38">
        <f>SUM(I65:I72)</f>
        <v>4288568.4399999995</v>
      </c>
      <c r="J73" s="81"/>
      <c r="K73" s="80"/>
      <c r="L73" s="78"/>
    </row>
    <row r="75" spans="1:12">
      <c r="A75" s="99" t="s">
        <v>855</v>
      </c>
      <c r="B75" s="99"/>
      <c r="C75" s="99"/>
      <c r="D75" s="99"/>
      <c r="E75" s="97"/>
      <c r="F75" s="97"/>
      <c r="G75" s="97"/>
      <c r="H75" s="97"/>
      <c r="I75" s="97"/>
    </row>
    <row r="76" spans="1:12" ht="33.75">
      <c r="A76" s="19" t="s">
        <v>1</v>
      </c>
      <c r="B76" s="19" t="s">
        <v>2</v>
      </c>
      <c r="C76" s="19" t="s">
        <v>3</v>
      </c>
      <c r="D76" s="9" t="s">
        <v>4</v>
      </c>
      <c r="E76" s="19" t="s">
        <v>5</v>
      </c>
      <c r="F76" s="14" t="s">
        <v>6</v>
      </c>
      <c r="G76" s="19" t="s">
        <v>7</v>
      </c>
      <c r="H76" s="2" t="s">
        <v>844</v>
      </c>
      <c r="I76" s="19" t="s">
        <v>8</v>
      </c>
      <c r="J76" s="3" t="s">
        <v>857</v>
      </c>
      <c r="K76" s="3" t="s">
        <v>856</v>
      </c>
      <c r="L76" s="3" t="s">
        <v>885</v>
      </c>
    </row>
    <row r="77" spans="1:12" ht="63.75" customHeight="1">
      <c r="A77" s="17" t="s">
        <v>94</v>
      </c>
      <c r="B77" s="18" t="s">
        <v>95</v>
      </c>
      <c r="C77" s="18" t="s">
        <v>18</v>
      </c>
      <c r="D77" s="12" t="s">
        <v>96</v>
      </c>
      <c r="E77" s="19">
        <v>1975</v>
      </c>
      <c r="F77" s="19">
        <v>1127</v>
      </c>
      <c r="G77" s="20">
        <v>1466647.3</v>
      </c>
      <c r="H77" s="22">
        <f t="shared" ref="H77:H81" si="10">G77-I77</f>
        <v>854979.68</v>
      </c>
      <c r="I77" s="20">
        <v>611667.62</v>
      </c>
      <c r="J77" s="81">
        <v>33787</v>
      </c>
      <c r="K77" s="80" t="s">
        <v>858</v>
      </c>
      <c r="L77" s="80" t="s">
        <v>889</v>
      </c>
    </row>
    <row r="78" spans="1:12" ht="54.75" customHeight="1">
      <c r="A78" s="17" t="s">
        <v>97</v>
      </c>
      <c r="B78" s="18" t="s">
        <v>98</v>
      </c>
      <c r="C78" s="18" t="s">
        <v>18</v>
      </c>
      <c r="D78" s="12" t="s">
        <v>99</v>
      </c>
      <c r="E78" s="19">
        <v>1949</v>
      </c>
      <c r="F78" s="19">
        <v>153.69999999999999</v>
      </c>
      <c r="G78" s="20">
        <v>669581.6</v>
      </c>
      <c r="H78" s="22">
        <f t="shared" si="10"/>
        <v>669581.6</v>
      </c>
      <c r="I78" s="20">
        <v>0</v>
      </c>
      <c r="J78" s="81">
        <v>33787</v>
      </c>
      <c r="K78" s="80" t="s">
        <v>858</v>
      </c>
      <c r="L78" s="78"/>
    </row>
    <row r="79" spans="1:12" ht="54.75" customHeight="1">
      <c r="A79" s="17" t="s">
        <v>100</v>
      </c>
      <c r="B79" s="18" t="s">
        <v>101</v>
      </c>
      <c r="C79" s="18" t="s">
        <v>14</v>
      </c>
      <c r="D79" s="12" t="s">
        <v>99</v>
      </c>
      <c r="E79" s="19">
        <v>1986</v>
      </c>
      <c r="F79" s="19">
        <v>74.7</v>
      </c>
      <c r="G79" s="20">
        <v>61207.6</v>
      </c>
      <c r="H79" s="22">
        <f t="shared" si="10"/>
        <v>61207.6</v>
      </c>
      <c r="I79" s="20">
        <v>0</v>
      </c>
      <c r="J79" s="81">
        <v>33787</v>
      </c>
      <c r="K79" s="80" t="s">
        <v>858</v>
      </c>
      <c r="L79" s="78"/>
    </row>
    <row r="80" spans="1:12" ht="54.75" customHeight="1">
      <c r="A80" s="17" t="s">
        <v>102</v>
      </c>
      <c r="B80" s="18" t="s">
        <v>103</v>
      </c>
      <c r="C80" s="18" t="s">
        <v>14</v>
      </c>
      <c r="D80" s="12" t="s">
        <v>99</v>
      </c>
      <c r="E80" s="19">
        <v>1986</v>
      </c>
      <c r="F80" s="19">
        <v>24.7</v>
      </c>
      <c r="G80" s="20">
        <v>17002.900000000001</v>
      </c>
      <c r="H80" s="22">
        <f t="shared" si="10"/>
        <v>17002.900000000001</v>
      </c>
      <c r="I80" s="20">
        <v>0</v>
      </c>
      <c r="J80" s="81">
        <v>33787</v>
      </c>
      <c r="K80" s="80" t="s">
        <v>858</v>
      </c>
      <c r="L80" s="78"/>
    </row>
    <row r="81" spans="1:12" ht="54.75" customHeight="1">
      <c r="A81" s="17" t="s">
        <v>104</v>
      </c>
      <c r="B81" s="18" t="s">
        <v>105</v>
      </c>
      <c r="C81" s="18" t="s">
        <v>18</v>
      </c>
      <c r="D81" s="12" t="s">
        <v>96</v>
      </c>
      <c r="E81" s="19">
        <v>1975</v>
      </c>
      <c r="F81" s="19">
        <v>44</v>
      </c>
      <c r="G81" s="20">
        <v>99260</v>
      </c>
      <c r="H81" s="22">
        <f t="shared" si="10"/>
        <v>62881</v>
      </c>
      <c r="I81" s="20">
        <v>36379</v>
      </c>
      <c r="J81" s="81">
        <v>33787</v>
      </c>
      <c r="K81" s="80" t="s">
        <v>858</v>
      </c>
      <c r="L81" s="78"/>
    </row>
    <row r="82" spans="1:12" ht="27" customHeight="1">
      <c r="A82" s="17"/>
      <c r="B82" s="36" t="s">
        <v>476</v>
      </c>
      <c r="C82" s="36">
        <f>81-76</f>
        <v>5</v>
      </c>
      <c r="D82" s="36" t="s">
        <v>474</v>
      </c>
      <c r="E82" s="37"/>
      <c r="F82" s="37"/>
      <c r="G82" s="38">
        <f>SUM(G77:G81)</f>
        <v>2313699.4</v>
      </c>
      <c r="H82" s="38">
        <f>SUM(H77:H81)</f>
        <v>1665652.78</v>
      </c>
      <c r="I82" s="38">
        <f>SUM(I77:I81)</f>
        <v>648046.62</v>
      </c>
      <c r="J82" s="81"/>
      <c r="K82" s="80"/>
      <c r="L82" s="78"/>
    </row>
    <row r="83" spans="1:12">
      <c r="A83" s="26"/>
      <c r="B83" s="27"/>
      <c r="C83" s="27"/>
      <c r="D83" s="16"/>
      <c r="E83" s="28"/>
      <c r="F83" s="28"/>
      <c r="G83" s="29"/>
      <c r="H83" s="29"/>
      <c r="I83" s="29"/>
    </row>
    <row r="84" spans="1:12">
      <c r="A84" s="26"/>
      <c r="B84" s="27"/>
      <c r="C84" s="27"/>
      <c r="D84" s="16"/>
      <c r="E84" s="28"/>
      <c r="F84" s="28"/>
      <c r="G84" s="29"/>
      <c r="H84" s="29"/>
      <c r="I84" s="29"/>
    </row>
    <row r="85" spans="1:12" ht="12.75" customHeight="1">
      <c r="A85" s="96" t="s">
        <v>939</v>
      </c>
      <c r="B85" s="96"/>
      <c r="C85" s="96"/>
      <c r="D85" s="96"/>
      <c r="E85" s="98"/>
      <c r="F85" s="98"/>
      <c r="G85" s="98"/>
      <c r="H85" s="98"/>
      <c r="I85" s="98"/>
    </row>
    <row r="86" spans="1:12" ht="33.75">
      <c r="A86" s="19" t="s">
        <v>1</v>
      </c>
      <c r="B86" s="19" t="s">
        <v>2</v>
      </c>
      <c r="C86" s="19" t="s">
        <v>3</v>
      </c>
      <c r="D86" s="9" t="s">
        <v>4</v>
      </c>
      <c r="E86" s="19" t="s">
        <v>5</v>
      </c>
      <c r="F86" s="14" t="s">
        <v>6</v>
      </c>
      <c r="G86" s="19" t="s">
        <v>7</v>
      </c>
      <c r="H86" s="2" t="s">
        <v>844</v>
      </c>
      <c r="I86" s="19" t="s">
        <v>8</v>
      </c>
      <c r="J86" s="3" t="s">
        <v>857</v>
      </c>
      <c r="K86" s="3" t="s">
        <v>856</v>
      </c>
      <c r="L86" s="3" t="s">
        <v>885</v>
      </c>
    </row>
    <row r="87" spans="1:12" ht="48" customHeight="1">
      <c r="A87" s="17" t="s">
        <v>106</v>
      </c>
      <c r="B87" s="18" t="s">
        <v>107</v>
      </c>
      <c r="C87" s="18" t="s">
        <v>18</v>
      </c>
      <c r="D87" s="12" t="s">
        <v>96</v>
      </c>
      <c r="E87" s="19">
        <v>1973</v>
      </c>
      <c r="F87" s="19">
        <v>8582.4699999999993</v>
      </c>
      <c r="G87" s="20">
        <v>5494772</v>
      </c>
      <c r="H87" s="22">
        <f t="shared" ref="H87:H90" si="11">G87-I87</f>
        <v>3479723</v>
      </c>
      <c r="I87" s="20">
        <v>2015049</v>
      </c>
      <c r="J87" s="81">
        <v>33787</v>
      </c>
      <c r="K87" s="80" t="s">
        <v>858</v>
      </c>
      <c r="L87" s="78"/>
    </row>
    <row r="88" spans="1:12" ht="48" customHeight="1">
      <c r="A88" s="17" t="s">
        <v>108</v>
      </c>
      <c r="B88" s="18" t="s">
        <v>109</v>
      </c>
      <c r="C88" s="18" t="s">
        <v>18</v>
      </c>
      <c r="D88" s="12" t="s">
        <v>110</v>
      </c>
      <c r="E88" s="19">
        <v>1947</v>
      </c>
      <c r="F88" s="19">
        <v>260.7</v>
      </c>
      <c r="G88" s="20">
        <v>1089448</v>
      </c>
      <c r="H88" s="22">
        <f t="shared" si="11"/>
        <v>1089448</v>
      </c>
      <c r="I88" s="20">
        <v>0</v>
      </c>
      <c r="J88" s="81">
        <v>33787</v>
      </c>
      <c r="K88" s="80" t="s">
        <v>858</v>
      </c>
      <c r="L88" s="78"/>
    </row>
    <row r="89" spans="1:12" ht="48" customHeight="1">
      <c r="A89" s="17" t="s">
        <v>111</v>
      </c>
      <c r="B89" s="18" t="s">
        <v>54</v>
      </c>
      <c r="C89" s="18" t="s">
        <v>14</v>
      </c>
      <c r="D89" s="12" t="s">
        <v>110</v>
      </c>
      <c r="E89" s="19">
        <v>1997</v>
      </c>
      <c r="F89" s="19">
        <v>30</v>
      </c>
      <c r="G89" s="20">
        <v>33767</v>
      </c>
      <c r="H89" s="22">
        <f t="shared" si="11"/>
        <v>23551</v>
      </c>
      <c r="I89" s="20">
        <v>10216</v>
      </c>
      <c r="J89" s="81">
        <v>33787</v>
      </c>
      <c r="K89" s="80" t="s">
        <v>858</v>
      </c>
      <c r="L89" s="78"/>
    </row>
    <row r="90" spans="1:12" ht="48" customHeight="1">
      <c r="A90" s="17" t="s">
        <v>112</v>
      </c>
      <c r="B90" s="18" t="s">
        <v>78</v>
      </c>
      <c r="C90" s="18" t="s">
        <v>14</v>
      </c>
      <c r="D90" s="12" t="s">
        <v>110</v>
      </c>
      <c r="E90" s="19">
        <v>1992</v>
      </c>
      <c r="F90" s="19">
        <v>77.77</v>
      </c>
      <c r="G90" s="20">
        <v>20569</v>
      </c>
      <c r="H90" s="22">
        <f t="shared" si="11"/>
        <v>19544</v>
      </c>
      <c r="I90" s="20">
        <v>1025</v>
      </c>
      <c r="J90" s="81">
        <v>33787</v>
      </c>
      <c r="K90" s="80" t="s">
        <v>858</v>
      </c>
      <c r="L90" s="78"/>
    </row>
    <row r="91" spans="1:12" s="72" customFormat="1" ht="48" customHeight="1">
      <c r="A91" s="17" t="s">
        <v>113</v>
      </c>
      <c r="B91" s="18" t="s">
        <v>92</v>
      </c>
      <c r="C91" s="18" t="s">
        <v>93</v>
      </c>
      <c r="D91" s="12" t="s">
        <v>114</v>
      </c>
      <c r="E91" s="19">
        <v>1981</v>
      </c>
      <c r="F91" s="19">
        <v>12.5</v>
      </c>
      <c r="G91" s="20">
        <v>12197</v>
      </c>
      <c r="H91" s="22">
        <f t="shared" ref="H91:H107" si="12">G91-I91</f>
        <v>1250</v>
      </c>
      <c r="I91" s="20">
        <v>10947</v>
      </c>
      <c r="J91" s="81">
        <v>33787</v>
      </c>
      <c r="K91" s="80" t="s">
        <v>858</v>
      </c>
      <c r="L91" s="88"/>
    </row>
    <row r="92" spans="1:12" ht="48" customHeight="1">
      <c r="A92" s="17" t="s">
        <v>115</v>
      </c>
      <c r="B92" s="15" t="s">
        <v>116</v>
      </c>
      <c r="C92" s="18" t="s">
        <v>18</v>
      </c>
      <c r="D92" s="12" t="s">
        <v>117</v>
      </c>
      <c r="E92" s="19">
        <v>1970</v>
      </c>
      <c r="F92" s="19">
        <v>350</v>
      </c>
      <c r="G92" s="20">
        <v>1228551</v>
      </c>
      <c r="H92" s="22">
        <f t="shared" si="12"/>
        <v>1007417</v>
      </c>
      <c r="I92" s="20">
        <v>221134</v>
      </c>
      <c r="J92" s="81">
        <v>33787</v>
      </c>
      <c r="K92" s="80" t="s">
        <v>858</v>
      </c>
      <c r="L92" s="78"/>
    </row>
    <row r="93" spans="1:12" ht="48" customHeight="1">
      <c r="A93" s="17" t="s">
        <v>118</v>
      </c>
      <c r="B93" s="15" t="s">
        <v>119</v>
      </c>
      <c r="C93" s="18" t="s">
        <v>18</v>
      </c>
      <c r="D93" s="12" t="s">
        <v>85</v>
      </c>
      <c r="E93" s="19">
        <v>1975</v>
      </c>
      <c r="F93" s="19">
        <v>690</v>
      </c>
      <c r="G93" s="20">
        <v>988133</v>
      </c>
      <c r="H93" s="22">
        <f t="shared" si="12"/>
        <v>711457</v>
      </c>
      <c r="I93" s="20">
        <v>276676</v>
      </c>
      <c r="J93" s="81">
        <v>33787</v>
      </c>
      <c r="K93" s="80" t="s">
        <v>858</v>
      </c>
      <c r="L93" s="78"/>
    </row>
    <row r="94" spans="1:12" ht="48" customHeight="1">
      <c r="A94" s="17" t="s">
        <v>120</v>
      </c>
      <c r="B94" s="15" t="s">
        <v>121</v>
      </c>
      <c r="C94" s="18" t="s">
        <v>18</v>
      </c>
      <c r="D94" s="12" t="s">
        <v>122</v>
      </c>
      <c r="E94" s="19">
        <v>1971</v>
      </c>
      <c r="F94" s="19">
        <v>350</v>
      </c>
      <c r="G94" s="20">
        <v>1737757</v>
      </c>
      <c r="H94" s="22">
        <f t="shared" si="12"/>
        <v>1390202</v>
      </c>
      <c r="I94" s="20">
        <v>347555</v>
      </c>
      <c r="J94" s="81">
        <v>33787</v>
      </c>
      <c r="K94" s="80" t="s">
        <v>858</v>
      </c>
      <c r="L94" s="78"/>
    </row>
    <row r="95" spans="1:12" ht="48" customHeight="1">
      <c r="A95" s="17" t="s">
        <v>123</v>
      </c>
      <c r="B95" s="15" t="s">
        <v>124</v>
      </c>
      <c r="C95" s="18" t="s">
        <v>18</v>
      </c>
      <c r="D95" s="12" t="s">
        <v>125</v>
      </c>
      <c r="E95" s="19">
        <v>1987</v>
      </c>
      <c r="F95" s="19">
        <v>690</v>
      </c>
      <c r="G95" s="20">
        <v>11517444</v>
      </c>
      <c r="H95" s="22">
        <f t="shared" si="12"/>
        <v>5528376</v>
      </c>
      <c r="I95" s="20">
        <v>5989068</v>
      </c>
      <c r="J95" s="81">
        <v>33787</v>
      </c>
      <c r="K95" s="80" t="s">
        <v>858</v>
      </c>
      <c r="L95" s="78"/>
    </row>
    <row r="96" spans="1:12" ht="48" customHeight="1">
      <c r="A96" s="17" t="s">
        <v>126</v>
      </c>
      <c r="B96" s="15" t="s">
        <v>127</v>
      </c>
      <c r="C96" s="18" t="s">
        <v>18</v>
      </c>
      <c r="D96" s="12" t="s">
        <v>90</v>
      </c>
      <c r="E96" s="19">
        <v>1986</v>
      </c>
      <c r="F96" s="19">
        <v>520</v>
      </c>
      <c r="G96" s="20">
        <v>10194425</v>
      </c>
      <c r="H96" s="22">
        <f t="shared" si="12"/>
        <v>6371581</v>
      </c>
      <c r="I96" s="20">
        <v>3822844</v>
      </c>
      <c r="J96" s="81">
        <v>33787</v>
      </c>
      <c r="K96" s="80" t="s">
        <v>858</v>
      </c>
      <c r="L96" s="78"/>
    </row>
    <row r="97" spans="1:12" ht="48" customHeight="1">
      <c r="A97" s="17" t="s">
        <v>128</v>
      </c>
      <c r="B97" s="15" t="s">
        <v>129</v>
      </c>
      <c r="C97" s="18" t="s">
        <v>18</v>
      </c>
      <c r="D97" s="12" t="s">
        <v>91</v>
      </c>
      <c r="E97" s="19">
        <v>1970</v>
      </c>
      <c r="F97" s="19">
        <v>397</v>
      </c>
      <c r="G97" s="20">
        <v>2186500</v>
      </c>
      <c r="H97" s="22">
        <f t="shared" si="12"/>
        <v>2186500</v>
      </c>
      <c r="I97" s="20">
        <v>0</v>
      </c>
      <c r="J97" s="81">
        <v>33787</v>
      </c>
      <c r="K97" s="80" t="s">
        <v>858</v>
      </c>
      <c r="L97" s="78"/>
    </row>
    <row r="98" spans="1:12" ht="48" customHeight="1">
      <c r="A98" s="17" t="s">
        <v>130</v>
      </c>
      <c r="B98" s="15" t="s">
        <v>131</v>
      </c>
      <c r="C98" s="18" t="s">
        <v>14</v>
      </c>
      <c r="D98" s="12" t="s">
        <v>81</v>
      </c>
      <c r="E98" s="19">
        <v>2008</v>
      </c>
      <c r="F98" s="19"/>
      <c r="G98" s="20">
        <v>10000</v>
      </c>
      <c r="H98" s="22">
        <f t="shared" si="12"/>
        <v>10000</v>
      </c>
      <c r="I98" s="20">
        <v>0</v>
      </c>
      <c r="J98" s="81">
        <v>33787</v>
      </c>
      <c r="K98" s="80" t="s">
        <v>858</v>
      </c>
      <c r="L98" s="78"/>
    </row>
    <row r="99" spans="1:12" s="72" customFormat="1" ht="48" customHeight="1">
      <c r="A99" s="10" t="s">
        <v>940</v>
      </c>
      <c r="B99" s="18" t="s">
        <v>76</v>
      </c>
      <c r="C99" s="18" t="s">
        <v>18</v>
      </c>
      <c r="D99" s="6" t="s">
        <v>77</v>
      </c>
      <c r="E99" s="19">
        <v>1961</v>
      </c>
      <c r="F99" s="19">
        <v>501.3</v>
      </c>
      <c r="G99" s="20">
        <v>1021281</v>
      </c>
      <c r="H99" s="22">
        <f t="shared" si="12"/>
        <v>1021281</v>
      </c>
      <c r="I99" s="20">
        <v>0</v>
      </c>
      <c r="J99" s="81">
        <v>33787</v>
      </c>
      <c r="K99" s="80" t="s">
        <v>858</v>
      </c>
      <c r="L99" s="88"/>
    </row>
    <row r="100" spans="1:12" s="72" customFormat="1" ht="48" customHeight="1">
      <c r="A100" s="10" t="s">
        <v>941</v>
      </c>
      <c r="B100" s="18" t="s">
        <v>54</v>
      </c>
      <c r="C100" s="18" t="s">
        <v>14</v>
      </c>
      <c r="D100" s="6" t="s">
        <v>77</v>
      </c>
      <c r="E100" s="19">
        <v>1961</v>
      </c>
      <c r="F100" s="19">
        <v>50</v>
      </c>
      <c r="G100" s="20">
        <v>477</v>
      </c>
      <c r="H100" s="22">
        <f t="shared" si="12"/>
        <v>477</v>
      </c>
      <c r="I100" s="20">
        <v>0</v>
      </c>
      <c r="J100" s="81">
        <v>33787</v>
      </c>
      <c r="K100" s="80" t="s">
        <v>858</v>
      </c>
      <c r="L100" s="88"/>
    </row>
    <row r="101" spans="1:12" ht="48" customHeight="1">
      <c r="A101" s="10" t="s">
        <v>942</v>
      </c>
      <c r="B101" s="18" t="s">
        <v>78</v>
      </c>
      <c r="C101" s="18" t="s">
        <v>14</v>
      </c>
      <c r="D101" s="6" t="s">
        <v>79</v>
      </c>
      <c r="E101" s="19">
        <v>1980</v>
      </c>
      <c r="F101" s="19">
        <v>100.2</v>
      </c>
      <c r="G101" s="20">
        <v>12952</v>
      </c>
      <c r="H101" s="22">
        <f t="shared" si="12"/>
        <v>12952</v>
      </c>
      <c r="I101" s="20">
        <v>0</v>
      </c>
      <c r="J101" s="81">
        <v>33787</v>
      </c>
      <c r="K101" s="80" t="s">
        <v>858</v>
      </c>
      <c r="L101" s="78"/>
    </row>
    <row r="102" spans="1:12" ht="48" customHeight="1">
      <c r="A102" s="10" t="s">
        <v>943</v>
      </c>
      <c r="B102" s="15" t="s">
        <v>80</v>
      </c>
      <c r="C102" s="18" t="s">
        <v>18</v>
      </c>
      <c r="D102" s="12" t="s">
        <v>81</v>
      </c>
      <c r="E102" s="19">
        <v>1967</v>
      </c>
      <c r="F102" s="19">
        <v>169</v>
      </c>
      <c r="G102" s="20">
        <v>429484</v>
      </c>
      <c r="H102" s="22">
        <f t="shared" si="12"/>
        <v>429484</v>
      </c>
      <c r="I102" s="20">
        <v>0</v>
      </c>
      <c r="J102" s="81">
        <v>33787</v>
      </c>
      <c r="K102" s="80" t="s">
        <v>858</v>
      </c>
      <c r="L102" s="78"/>
    </row>
    <row r="103" spans="1:12" ht="48" customHeight="1">
      <c r="A103" s="10" t="s">
        <v>944</v>
      </c>
      <c r="B103" s="15" t="s">
        <v>82</v>
      </c>
      <c r="C103" s="18" t="s">
        <v>18</v>
      </c>
      <c r="D103" s="12" t="s">
        <v>83</v>
      </c>
      <c r="E103" s="19">
        <v>1974</v>
      </c>
      <c r="F103" s="19">
        <v>59</v>
      </c>
      <c r="G103" s="20">
        <v>434809</v>
      </c>
      <c r="H103" s="22">
        <f t="shared" si="12"/>
        <v>402214</v>
      </c>
      <c r="I103" s="20">
        <v>32595</v>
      </c>
      <c r="J103" s="81">
        <v>33787</v>
      </c>
      <c r="K103" s="80" t="s">
        <v>858</v>
      </c>
      <c r="L103" s="78"/>
    </row>
    <row r="104" spans="1:12" ht="48" customHeight="1">
      <c r="A104" s="10" t="s">
        <v>945</v>
      </c>
      <c r="B104" s="12" t="s">
        <v>84</v>
      </c>
      <c r="C104" s="18" t="s">
        <v>18</v>
      </c>
      <c r="D104" s="12" t="s">
        <v>85</v>
      </c>
      <c r="E104" s="19">
        <v>1975</v>
      </c>
      <c r="F104" s="19">
        <v>375</v>
      </c>
      <c r="G104" s="20">
        <v>2470332</v>
      </c>
      <c r="H104" s="22">
        <f t="shared" si="12"/>
        <v>1482192</v>
      </c>
      <c r="I104" s="20">
        <v>988140</v>
      </c>
      <c r="J104" s="81">
        <v>33787</v>
      </c>
      <c r="K104" s="80" t="s">
        <v>858</v>
      </c>
      <c r="L104" s="78"/>
    </row>
    <row r="105" spans="1:12" ht="48" customHeight="1">
      <c r="A105" s="10" t="s">
        <v>946</v>
      </c>
      <c r="B105" s="12" t="s">
        <v>86</v>
      </c>
      <c r="C105" s="18" t="s">
        <v>18</v>
      </c>
      <c r="D105" s="12" t="s">
        <v>87</v>
      </c>
      <c r="E105" s="19">
        <v>1971</v>
      </c>
      <c r="F105" s="19">
        <v>78</v>
      </c>
      <c r="G105" s="20">
        <v>379914</v>
      </c>
      <c r="H105" s="22">
        <f t="shared" si="12"/>
        <v>379680</v>
      </c>
      <c r="I105" s="20">
        <v>234</v>
      </c>
      <c r="J105" s="81">
        <v>33787</v>
      </c>
      <c r="K105" s="80" t="s">
        <v>858</v>
      </c>
      <c r="L105" s="78"/>
    </row>
    <row r="106" spans="1:12" ht="48" customHeight="1">
      <c r="A106" s="10" t="s">
        <v>947</v>
      </c>
      <c r="B106" s="12" t="s">
        <v>88</v>
      </c>
      <c r="C106" s="18" t="s">
        <v>18</v>
      </c>
      <c r="D106" s="12" t="s">
        <v>46</v>
      </c>
      <c r="E106" s="19">
        <v>1987</v>
      </c>
      <c r="F106" s="19">
        <v>110</v>
      </c>
      <c r="G106" s="20">
        <v>1771914</v>
      </c>
      <c r="H106" s="22">
        <f t="shared" si="12"/>
        <v>850464</v>
      </c>
      <c r="I106" s="20">
        <v>921450</v>
      </c>
      <c r="J106" s="81">
        <v>33787</v>
      </c>
      <c r="K106" s="80" t="s">
        <v>858</v>
      </c>
      <c r="L106" s="78"/>
    </row>
    <row r="107" spans="1:12" ht="48" customHeight="1">
      <c r="A107" s="10" t="s">
        <v>948</v>
      </c>
      <c r="B107" s="12" t="s">
        <v>89</v>
      </c>
      <c r="C107" s="18" t="s">
        <v>18</v>
      </c>
      <c r="D107" s="12" t="s">
        <v>90</v>
      </c>
      <c r="E107" s="19">
        <v>1986</v>
      </c>
      <c r="F107" s="19">
        <v>80</v>
      </c>
      <c r="G107" s="20">
        <v>1568372</v>
      </c>
      <c r="H107" s="22">
        <f t="shared" si="12"/>
        <v>784200</v>
      </c>
      <c r="I107" s="20">
        <v>784172</v>
      </c>
      <c r="J107" s="81">
        <v>33787</v>
      </c>
      <c r="K107" s="80" t="s">
        <v>858</v>
      </c>
      <c r="L107" s="78"/>
    </row>
    <row r="108" spans="1:12" ht="24" customHeight="1">
      <c r="A108" s="17"/>
      <c r="B108" s="36" t="s">
        <v>476</v>
      </c>
      <c r="C108" s="36">
        <f>108-86</f>
        <v>22</v>
      </c>
      <c r="D108" s="36" t="s">
        <v>474</v>
      </c>
      <c r="E108" s="37"/>
      <c r="F108" s="37"/>
      <c r="G108" s="38">
        <f>SUM(G87:G107)</f>
        <v>42603098</v>
      </c>
      <c r="H108" s="38">
        <f>SUM(H87:H107)</f>
        <v>27181993</v>
      </c>
      <c r="I108" s="38">
        <f>SUM(I87:I107)</f>
        <v>15421105</v>
      </c>
      <c r="J108" s="81"/>
      <c r="K108" s="80"/>
      <c r="L108" s="78"/>
    </row>
    <row r="111" spans="1:12" s="79" customFormat="1">
      <c r="B111" s="79" t="s">
        <v>899</v>
      </c>
      <c r="C111" s="92">
        <f>C9+C15+C22+C30+C36+C44+C49+C54+C61+C73+C82+C108</f>
        <v>55</v>
      </c>
      <c r="F111" s="79">
        <f>SUM(F7:F8)+SUM(F13:F14)+SUM(F20:F21)+SUM(F26:F29)+SUM(F34:F35)+SUM(F40:F43)+F48+F53+SUM(F59:F60)+SUM(F65:F72)+SUM(F77:F81)+SUM(F87:F107)</f>
        <v>47197.14</v>
      </c>
      <c r="G111" s="38">
        <f>G9+G15+G22+G30+G36+G44+G49+G54+G61+G73+G82+G108</f>
        <v>208439623.13000003</v>
      </c>
      <c r="H111" s="94">
        <f>H9+H15+H22+H30+H36+H44+H49+H54+H61+H73+H82+H108</f>
        <v>95498737.25999999</v>
      </c>
      <c r="I111" s="38">
        <f>I9+I15+I22+I30+I36+I44+I49+I54+I61+I73+I82+I108</f>
        <v>112940885.87</v>
      </c>
    </row>
  </sheetData>
  <mergeCells count="16">
    <mergeCell ref="A85:I85"/>
    <mergeCell ref="A32:I32"/>
    <mergeCell ref="A38:I38"/>
    <mergeCell ref="A51:I51"/>
    <mergeCell ref="A57:I57"/>
    <mergeCell ref="A63:I63"/>
    <mergeCell ref="A46:I46"/>
    <mergeCell ref="A50:I50"/>
    <mergeCell ref="A2:I2"/>
    <mergeCell ref="A11:I11"/>
    <mergeCell ref="A18:I18"/>
    <mergeCell ref="A24:I24"/>
    <mergeCell ref="A75:I75"/>
    <mergeCell ref="A4:I4"/>
    <mergeCell ref="A5:I5"/>
    <mergeCell ref="A10:I10"/>
  </mergeCells>
  <pageMargins left="0.39370078740157483" right="0.31496062992125984" top="0.62" bottom="0.39370078740157483" header="0.28000000000000003" footer="0.23622047244094491"/>
  <pageSetup paperSize="9" scale="6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65"/>
  <sheetViews>
    <sheetView topLeftCell="B255" zoomScaleNormal="100" zoomScaleSheetLayoutView="100" workbookViewId="0">
      <selection activeCell="F270" sqref="F270"/>
    </sheetView>
  </sheetViews>
  <sheetFormatPr defaultRowHeight="12.75"/>
  <cols>
    <col min="1" max="1" width="11.28515625" customWidth="1"/>
    <col min="2" max="2" width="19.140625" customWidth="1"/>
    <col min="3" max="3" width="18" customWidth="1"/>
    <col min="4" max="4" width="34.42578125" style="34" customWidth="1"/>
    <col min="6" max="6" width="12.42578125" customWidth="1"/>
    <col min="7" max="9" width="14.7109375" customWidth="1"/>
    <col min="10" max="10" width="12.5703125" customWidth="1"/>
    <col min="11" max="11" width="22" customWidth="1"/>
    <col min="12" max="12" width="27.85546875" customWidth="1"/>
  </cols>
  <sheetData>
    <row r="2" spans="1:12">
      <c r="A2" s="101" t="s">
        <v>0</v>
      </c>
      <c r="B2" s="101"/>
      <c r="C2" s="101"/>
      <c r="D2" s="101"/>
      <c r="E2" s="103"/>
      <c r="F2" s="103"/>
      <c r="G2" s="103"/>
      <c r="H2" s="103"/>
      <c r="I2" s="103"/>
    </row>
    <row r="4" spans="1:12">
      <c r="A4" s="101" t="s">
        <v>877</v>
      </c>
      <c r="B4" s="101"/>
      <c r="C4" s="101"/>
      <c r="D4" s="101"/>
      <c r="E4" s="103"/>
      <c r="F4" s="103"/>
      <c r="G4" s="103"/>
      <c r="H4" s="103"/>
      <c r="I4" s="103"/>
    </row>
    <row r="5" spans="1:12" ht="45">
      <c r="A5" s="2" t="s">
        <v>1</v>
      </c>
      <c r="B5" s="2" t="s">
        <v>2</v>
      </c>
      <c r="C5" s="2" t="s">
        <v>3</v>
      </c>
      <c r="D5" s="3" t="s">
        <v>4</v>
      </c>
      <c r="E5" s="2" t="s">
        <v>5</v>
      </c>
      <c r="F5" s="2" t="s">
        <v>6</v>
      </c>
      <c r="G5" s="2" t="s">
        <v>7</v>
      </c>
      <c r="H5" s="2" t="s">
        <v>844</v>
      </c>
      <c r="I5" s="2" t="s">
        <v>8</v>
      </c>
      <c r="J5" s="3" t="s">
        <v>857</v>
      </c>
      <c r="K5" s="3" t="s">
        <v>856</v>
      </c>
      <c r="L5" s="3" t="s">
        <v>885</v>
      </c>
    </row>
    <row r="6" spans="1:12" ht="44.25" customHeight="1">
      <c r="A6" s="4" t="s">
        <v>137</v>
      </c>
      <c r="B6" s="5" t="s">
        <v>138</v>
      </c>
      <c r="C6" s="5" t="s">
        <v>18</v>
      </c>
      <c r="D6" s="6" t="s">
        <v>139</v>
      </c>
      <c r="E6" s="2">
        <v>1978</v>
      </c>
      <c r="F6" s="2">
        <v>2083.1</v>
      </c>
      <c r="G6" s="7">
        <v>1417550.75</v>
      </c>
      <c r="H6" s="22">
        <f>G6-I6</f>
        <v>607204.49</v>
      </c>
      <c r="I6" s="7">
        <v>810346.26</v>
      </c>
      <c r="J6" s="81">
        <v>33787</v>
      </c>
      <c r="K6" s="80" t="s">
        <v>858</v>
      </c>
      <c r="L6" s="80" t="s">
        <v>893</v>
      </c>
    </row>
    <row r="7" spans="1:12" ht="46.5" customHeight="1">
      <c r="A7" s="4" t="s">
        <v>140</v>
      </c>
      <c r="B7" s="5" t="s">
        <v>10</v>
      </c>
      <c r="C7" s="5" t="s">
        <v>11</v>
      </c>
      <c r="D7" s="6" t="s">
        <v>141</v>
      </c>
      <c r="E7" s="2">
        <v>1959</v>
      </c>
      <c r="F7" s="2">
        <v>141.4</v>
      </c>
      <c r="G7" s="7">
        <v>70410.210000000006</v>
      </c>
      <c r="H7" s="22">
        <f t="shared" ref="H7:H11" si="0">G7-I7</f>
        <v>46285.62000000001</v>
      </c>
      <c r="I7" s="7">
        <v>24124.59</v>
      </c>
      <c r="J7" s="81">
        <v>33787</v>
      </c>
      <c r="K7" s="80" t="s">
        <v>858</v>
      </c>
      <c r="L7" s="82"/>
    </row>
    <row r="8" spans="1:12" ht="48.75" customHeight="1">
      <c r="A8" s="4" t="s">
        <v>142</v>
      </c>
      <c r="B8" s="5" t="s">
        <v>143</v>
      </c>
      <c r="C8" s="5" t="s">
        <v>18</v>
      </c>
      <c r="D8" s="6" t="s">
        <v>144</v>
      </c>
      <c r="E8" s="2">
        <v>1946</v>
      </c>
      <c r="F8" s="2">
        <v>912.8</v>
      </c>
      <c r="G8" s="7">
        <v>612323.5</v>
      </c>
      <c r="H8" s="22">
        <f t="shared" si="0"/>
        <v>466164.03</v>
      </c>
      <c r="I8" s="7">
        <v>146159.47</v>
      </c>
      <c r="J8" s="81">
        <v>33787</v>
      </c>
      <c r="K8" s="80" t="s">
        <v>858</v>
      </c>
      <c r="L8" s="82"/>
    </row>
    <row r="9" spans="1:12" ht="46.5" customHeight="1">
      <c r="A9" s="4" t="s">
        <v>145</v>
      </c>
      <c r="B9" s="5" t="s">
        <v>146</v>
      </c>
      <c r="C9" s="5" t="s">
        <v>18</v>
      </c>
      <c r="D9" s="6" t="s">
        <v>147</v>
      </c>
      <c r="E9" s="2">
        <v>1989</v>
      </c>
      <c r="F9" s="2">
        <v>367.5</v>
      </c>
      <c r="G9" s="7">
        <v>254652.86</v>
      </c>
      <c r="H9" s="22">
        <f t="shared" si="0"/>
        <v>133947.10999999999</v>
      </c>
      <c r="I9" s="7">
        <v>120705.75</v>
      </c>
      <c r="J9" s="81">
        <v>33787</v>
      </c>
      <c r="K9" s="80" t="s">
        <v>858</v>
      </c>
      <c r="L9" s="82"/>
    </row>
    <row r="10" spans="1:12" ht="46.5" customHeight="1">
      <c r="A10" s="4" t="s">
        <v>148</v>
      </c>
      <c r="B10" s="5" t="s">
        <v>149</v>
      </c>
      <c r="C10" s="5" t="s">
        <v>18</v>
      </c>
      <c r="D10" s="6" t="s">
        <v>147</v>
      </c>
      <c r="E10" s="2">
        <v>1989</v>
      </c>
      <c r="F10" s="2">
        <v>250.6</v>
      </c>
      <c r="G10" s="7">
        <v>136741.03</v>
      </c>
      <c r="H10" s="22">
        <f t="shared" si="0"/>
        <v>97197.94</v>
      </c>
      <c r="I10" s="7">
        <v>39543.089999999997</v>
      </c>
      <c r="J10" s="81">
        <v>33787</v>
      </c>
      <c r="K10" s="80" t="s">
        <v>858</v>
      </c>
      <c r="L10" s="82"/>
    </row>
    <row r="11" spans="1:12" s="32" customFormat="1" ht="46.5" customHeight="1">
      <c r="A11" s="10" t="s">
        <v>538</v>
      </c>
      <c r="B11" s="11" t="s">
        <v>92</v>
      </c>
      <c r="C11" s="11" t="s">
        <v>93</v>
      </c>
      <c r="D11" s="12" t="s">
        <v>539</v>
      </c>
      <c r="E11" s="8"/>
      <c r="F11" s="8">
        <v>26.5</v>
      </c>
      <c r="G11" s="13">
        <v>143670</v>
      </c>
      <c r="H11" s="22">
        <f t="shared" si="0"/>
        <v>113466</v>
      </c>
      <c r="I11" s="13">
        <v>30204</v>
      </c>
      <c r="J11" s="81">
        <v>33787</v>
      </c>
      <c r="K11" s="80" t="s">
        <v>858</v>
      </c>
      <c r="L11" s="83"/>
    </row>
    <row r="12" spans="1:12" ht="25.5" customHeight="1">
      <c r="A12" s="35"/>
      <c r="B12" s="36" t="s">
        <v>476</v>
      </c>
      <c r="C12" s="36">
        <f>12-6</f>
        <v>6</v>
      </c>
      <c r="D12" s="36" t="s">
        <v>474</v>
      </c>
      <c r="E12" s="37"/>
      <c r="F12" s="37">
        <f>SUM(F6:F11)</f>
        <v>3781.9</v>
      </c>
      <c r="G12" s="38">
        <f>SUM(G6:G11)</f>
        <v>2635348.3499999996</v>
      </c>
      <c r="H12" s="38">
        <f>SUM(H6:H11)</f>
        <v>1464265.19</v>
      </c>
      <c r="I12" s="38">
        <f>SUM(I6:I11)</f>
        <v>1171083.1599999999</v>
      </c>
      <c r="J12" s="82"/>
      <c r="K12" s="82"/>
      <c r="L12" s="82"/>
    </row>
    <row r="15" spans="1:12">
      <c r="A15" s="105" t="s">
        <v>878</v>
      </c>
      <c r="B15" s="105"/>
      <c r="C15" s="105"/>
      <c r="D15" s="105"/>
      <c r="E15" s="105"/>
      <c r="F15" s="105"/>
      <c r="G15" s="105"/>
      <c r="H15" s="105"/>
      <c r="I15" s="105"/>
    </row>
    <row r="16" spans="1:12" ht="45">
      <c r="A16" s="2" t="s">
        <v>1</v>
      </c>
      <c r="B16" s="2" t="s">
        <v>2</v>
      </c>
      <c r="C16" s="2" t="s">
        <v>3</v>
      </c>
      <c r="D16" s="3" t="s">
        <v>4</v>
      </c>
      <c r="E16" s="2" t="s">
        <v>5</v>
      </c>
      <c r="F16" s="2" t="s">
        <v>6</v>
      </c>
      <c r="G16" s="2" t="s">
        <v>7</v>
      </c>
      <c r="H16" s="2" t="s">
        <v>844</v>
      </c>
      <c r="I16" s="2" t="s">
        <v>8</v>
      </c>
      <c r="J16" s="3" t="s">
        <v>857</v>
      </c>
      <c r="K16" s="3" t="s">
        <v>856</v>
      </c>
      <c r="L16" s="3" t="s">
        <v>885</v>
      </c>
    </row>
    <row r="17" spans="1:12" ht="51" customHeight="1">
      <c r="A17" s="4" t="s">
        <v>298</v>
      </c>
      <c r="B17" s="5" t="s">
        <v>299</v>
      </c>
      <c r="C17" s="5" t="s">
        <v>11</v>
      </c>
      <c r="D17" s="6" t="s">
        <v>300</v>
      </c>
      <c r="E17" s="2">
        <v>1958</v>
      </c>
      <c r="F17" s="2">
        <v>133.6</v>
      </c>
      <c r="G17" s="7">
        <v>162254.97</v>
      </c>
      <c r="H17" s="22">
        <f>G17-I17</f>
        <v>162254.97</v>
      </c>
      <c r="I17" s="7">
        <v>0</v>
      </c>
      <c r="J17" s="81">
        <v>33787</v>
      </c>
      <c r="K17" s="80" t="s">
        <v>858</v>
      </c>
      <c r="L17" s="78"/>
    </row>
    <row r="18" spans="1:12" ht="51" customHeight="1">
      <c r="A18" s="4" t="s">
        <v>301</v>
      </c>
      <c r="B18" s="5" t="s">
        <v>33</v>
      </c>
      <c r="C18" s="5" t="s">
        <v>14</v>
      </c>
      <c r="D18" s="6" t="s">
        <v>300</v>
      </c>
      <c r="E18" s="2"/>
      <c r="F18" s="2">
        <v>34.5</v>
      </c>
      <c r="G18" s="7">
        <v>1868.13</v>
      </c>
      <c r="H18" s="22">
        <f t="shared" ref="H18:H20" si="1">G18-I18</f>
        <v>1868.13</v>
      </c>
      <c r="I18" s="7">
        <v>0</v>
      </c>
      <c r="J18" s="81">
        <v>33787</v>
      </c>
      <c r="K18" s="80" t="s">
        <v>858</v>
      </c>
      <c r="L18" s="82"/>
    </row>
    <row r="19" spans="1:12" ht="51" customHeight="1">
      <c r="A19" s="4" t="s">
        <v>302</v>
      </c>
      <c r="B19" s="5" t="s">
        <v>303</v>
      </c>
      <c r="C19" s="5" t="s">
        <v>14</v>
      </c>
      <c r="D19" s="6" t="s">
        <v>300</v>
      </c>
      <c r="E19" s="2"/>
      <c r="F19" s="2">
        <v>68.3</v>
      </c>
      <c r="G19" s="7">
        <v>2242.98</v>
      </c>
      <c r="H19" s="22">
        <f t="shared" si="1"/>
        <v>2242.98</v>
      </c>
      <c r="I19" s="7">
        <v>0</v>
      </c>
      <c r="J19" s="81">
        <v>33787</v>
      </c>
      <c r="K19" s="80" t="s">
        <v>858</v>
      </c>
      <c r="L19" s="82"/>
    </row>
    <row r="20" spans="1:12" ht="51" customHeight="1">
      <c r="A20" s="4" t="s">
        <v>304</v>
      </c>
      <c r="B20" s="5" t="s">
        <v>305</v>
      </c>
      <c r="C20" s="5" t="s">
        <v>14</v>
      </c>
      <c r="D20" s="6" t="s">
        <v>306</v>
      </c>
      <c r="E20" s="2">
        <v>1980</v>
      </c>
      <c r="F20" s="2">
        <v>309.8</v>
      </c>
      <c r="G20" s="7">
        <v>1262171.97</v>
      </c>
      <c r="H20" s="22">
        <f t="shared" si="1"/>
        <v>956426.97</v>
      </c>
      <c r="I20" s="20">
        <v>305745</v>
      </c>
      <c r="J20" s="81">
        <v>33787</v>
      </c>
      <c r="K20" s="80" t="s">
        <v>858</v>
      </c>
      <c r="L20" s="82"/>
    </row>
    <row r="21" spans="1:12" ht="26.25" customHeight="1">
      <c r="A21" s="35"/>
      <c r="B21" s="36" t="s">
        <v>476</v>
      </c>
      <c r="C21" s="36">
        <f>21-17</f>
        <v>4</v>
      </c>
      <c r="D21" s="36" t="s">
        <v>474</v>
      </c>
      <c r="E21" s="37"/>
      <c r="F21" s="37">
        <f>SUM(F17:F20)</f>
        <v>546.20000000000005</v>
      </c>
      <c r="G21" s="38">
        <f>SUM(G17:G20)</f>
        <v>1428538.05</v>
      </c>
      <c r="H21" s="38">
        <f>SUM(H17:H20)</f>
        <v>1122793.05</v>
      </c>
      <c r="I21" s="38">
        <f>SUM(I17:I20)</f>
        <v>305745</v>
      </c>
      <c r="J21" s="81"/>
      <c r="K21" s="80"/>
      <c r="L21" s="82"/>
    </row>
    <row r="23" spans="1:12">
      <c r="A23" s="101" t="s">
        <v>879</v>
      </c>
      <c r="B23" s="101"/>
      <c r="C23" s="101"/>
      <c r="D23" s="101"/>
      <c r="E23" s="103"/>
      <c r="F23" s="103"/>
      <c r="G23" s="103"/>
      <c r="H23" s="103"/>
      <c r="I23" s="103"/>
    </row>
    <row r="24" spans="1:12" ht="45">
      <c r="A24" s="2" t="s">
        <v>1</v>
      </c>
      <c r="B24" s="2" t="s">
        <v>2</v>
      </c>
      <c r="C24" s="2" t="s">
        <v>3</v>
      </c>
      <c r="D24" s="3" t="s">
        <v>4</v>
      </c>
      <c r="E24" s="2" t="s">
        <v>5</v>
      </c>
      <c r="F24" s="2" t="s">
        <v>6</v>
      </c>
      <c r="G24" s="2" t="s">
        <v>7</v>
      </c>
      <c r="H24" s="2" t="s">
        <v>844</v>
      </c>
      <c r="I24" s="2" t="s">
        <v>8</v>
      </c>
      <c r="J24" s="3" t="s">
        <v>857</v>
      </c>
      <c r="K24" s="3" t="s">
        <v>856</v>
      </c>
      <c r="L24" s="3" t="s">
        <v>885</v>
      </c>
    </row>
    <row r="25" spans="1:12" ht="48" customHeight="1">
      <c r="A25" s="4" t="s">
        <v>216</v>
      </c>
      <c r="B25" s="5" t="s">
        <v>217</v>
      </c>
      <c r="C25" s="5" t="s">
        <v>18</v>
      </c>
      <c r="D25" s="6" t="s">
        <v>183</v>
      </c>
      <c r="E25" s="2">
        <v>1963</v>
      </c>
      <c r="F25" s="2">
        <v>1225</v>
      </c>
      <c r="G25" s="7">
        <v>165100</v>
      </c>
      <c r="H25" s="22">
        <f>G25-I25</f>
        <v>123215</v>
      </c>
      <c r="I25" s="7">
        <v>41885</v>
      </c>
      <c r="J25" s="81">
        <v>33787</v>
      </c>
      <c r="K25" s="80" t="s">
        <v>858</v>
      </c>
      <c r="L25" s="78"/>
    </row>
    <row r="26" spans="1:12" ht="48" customHeight="1">
      <c r="A26" s="4" t="s">
        <v>218</v>
      </c>
      <c r="B26" s="5" t="s">
        <v>219</v>
      </c>
      <c r="C26" s="5" t="s">
        <v>18</v>
      </c>
      <c r="D26" s="6" t="s">
        <v>220</v>
      </c>
      <c r="E26" s="2">
        <v>1971</v>
      </c>
      <c r="F26" s="2">
        <v>502</v>
      </c>
      <c r="G26" s="7">
        <v>1100400</v>
      </c>
      <c r="H26" s="22">
        <f t="shared" ref="H26:H89" si="2">G26-I26</f>
        <v>580886</v>
      </c>
      <c r="I26" s="7">
        <v>519514</v>
      </c>
      <c r="J26" s="81">
        <v>33787</v>
      </c>
      <c r="K26" s="80" t="s">
        <v>858</v>
      </c>
      <c r="L26" s="82"/>
    </row>
    <row r="27" spans="1:12" ht="48" customHeight="1">
      <c r="A27" s="4" t="s">
        <v>221</v>
      </c>
      <c r="B27" s="5" t="s">
        <v>222</v>
      </c>
      <c r="C27" s="5" t="s">
        <v>18</v>
      </c>
      <c r="D27" s="6" t="s">
        <v>155</v>
      </c>
      <c r="E27" s="2">
        <v>1982</v>
      </c>
      <c r="F27" s="2">
        <v>711</v>
      </c>
      <c r="G27" s="7">
        <v>1196600</v>
      </c>
      <c r="H27" s="22">
        <f t="shared" si="2"/>
        <v>515609</v>
      </c>
      <c r="I27" s="7">
        <v>680991</v>
      </c>
      <c r="J27" s="81">
        <v>33787</v>
      </c>
      <c r="K27" s="80" t="s">
        <v>858</v>
      </c>
      <c r="L27" s="82"/>
    </row>
    <row r="28" spans="1:12" ht="48" customHeight="1">
      <c r="A28" s="4" t="s">
        <v>223</v>
      </c>
      <c r="B28" s="5" t="s">
        <v>224</v>
      </c>
      <c r="C28" s="5" t="s">
        <v>18</v>
      </c>
      <c r="D28" s="6" t="s">
        <v>155</v>
      </c>
      <c r="E28" s="2">
        <v>1984</v>
      </c>
      <c r="F28" s="2" t="s">
        <v>225</v>
      </c>
      <c r="G28" s="7">
        <v>230200</v>
      </c>
      <c r="H28" s="22">
        <f t="shared" si="2"/>
        <v>230200</v>
      </c>
      <c r="I28" s="7">
        <v>0</v>
      </c>
      <c r="J28" s="81">
        <v>33787</v>
      </c>
      <c r="K28" s="80" t="s">
        <v>858</v>
      </c>
      <c r="L28" s="82"/>
    </row>
    <row r="29" spans="1:12" ht="48" customHeight="1">
      <c r="A29" s="4" t="s">
        <v>226</v>
      </c>
      <c r="B29" s="5" t="s">
        <v>227</v>
      </c>
      <c r="C29" s="5" t="s">
        <v>18</v>
      </c>
      <c r="D29" s="6" t="s">
        <v>79</v>
      </c>
      <c r="E29" s="2">
        <v>1991</v>
      </c>
      <c r="F29" s="2">
        <v>432</v>
      </c>
      <c r="G29" s="7">
        <v>1966000</v>
      </c>
      <c r="H29" s="22">
        <f t="shared" si="2"/>
        <v>226414</v>
      </c>
      <c r="I29" s="7">
        <v>1739586</v>
      </c>
      <c r="J29" s="81">
        <v>33787</v>
      </c>
      <c r="K29" s="80" t="s">
        <v>858</v>
      </c>
      <c r="L29" s="82"/>
    </row>
    <row r="30" spans="1:12" ht="48" customHeight="1">
      <c r="A30" s="4" t="s">
        <v>228</v>
      </c>
      <c r="B30" s="5" t="s">
        <v>229</v>
      </c>
      <c r="C30" s="5" t="s">
        <v>18</v>
      </c>
      <c r="D30" s="6" t="s">
        <v>79</v>
      </c>
      <c r="E30" s="2">
        <v>1993</v>
      </c>
      <c r="F30" s="2">
        <v>288</v>
      </c>
      <c r="G30" s="7">
        <v>9600</v>
      </c>
      <c r="H30" s="22">
        <f t="shared" si="2"/>
        <v>4032</v>
      </c>
      <c r="I30" s="7">
        <v>5568</v>
      </c>
      <c r="J30" s="81">
        <v>33787</v>
      </c>
      <c r="K30" s="80" t="s">
        <v>858</v>
      </c>
      <c r="L30" s="82"/>
    </row>
    <row r="31" spans="1:12" ht="48" customHeight="1">
      <c r="A31" s="4" t="s">
        <v>230</v>
      </c>
      <c r="B31" s="5" t="s">
        <v>231</v>
      </c>
      <c r="C31" s="5" t="s">
        <v>18</v>
      </c>
      <c r="D31" s="6" t="s">
        <v>232</v>
      </c>
      <c r="E31" s="2">
        <v>1980</v>
      </c>
      <c r="F31" s="2">
        <v>250</v>
      </c>
      <c r="G31" s="7">
        <v>496900</v>
      </c>
      <c r="H31" s="22">
        <f t="shared" si="2"/>
        <v>295928</v>
      </c>
      <c r="I31" s="7">
        <v>200972</v>
      </c>
      <c r="J31" s="81">
        <v>33787</v>
      </c>
      <c r="K31" s="80" t="s">
        <v>858</v>
      </c>
      <c r="L31" s="82"/>
    </row>
    <row r="32" spans="1:12" ht="48" customHeight="1">
      <c r="A32" s="4" t="s">
        <v>233</v>
      </c>
      <c r="B32" s="5" t="s">
        <v>231</v>
      </c>
      <c r="C32" s="5" t="s">
        <v>18</v>
      </c>
      <c r="D32" s="6" t="s">
        <v>51</v>
      </c>
      <c r="E32" s="2">
        <v>1969</v>
      </c>
      <c r="F32" s="2">
        <v>176</v>
      </c>
      <c r="G32" s="7">
        <v>541900</v>
      </c>
      <c r="H32" s="22">
        <f t="shared" si="2"/>
        <v>506998</v>
      </c>
      <c r="I32" s="7">
        <v>34902</v>
      </c>
      <c r="J32" s="81">
        <v>33787</v>
      </c>
      <c r="K32" s="80" t="s">
        <v>858</v>
      </c>
      <c r="L32" s="82"/>
    </row>
    <row r="33" spans="1:12" ht="48" customHeight="1">
      <c r="A33" s="4" t="s">
        <v>234</v>
      </c>
      <c r="B33" s="5" t="s">
        <v>231</v>
      </c>
      <c r="C33" s="5" t="s">
        <v>18</v>
      </c>
      <c r="D33" s="6" t="s">
        <v>35</v>
      </c>
      <c r="E33" s="2">
        <v>1990</v>
      </c>
      <c r="F33" s="2">
        <v>360</v>
      </c>
      <c r="G33" s="7">
        <v>1000200</v>
      </c>
      <c r="H33" s="22">
        <f t="shared" si="2"/>
        <v>336533</v>
      </c>
      <c r="I33" s="7">
        <v>663667</v>
      </c>
      <c r="J33" s="81">
        <v>33787</v>
      </c>
      <c r="K33" s="80" t="s">
        <v>858</v>
      </c>
      <c r="L33" s="82"/>
    </row>
    <row r="34" spans="1:12" ht="48" customHeight="1">
      <c r="A34" s="4" t="s">
        <v>235</v>
      </c>
      <c r="B34" s="5" t="s">
        <v>229</v>
      </c>
      <c r="C34" s="5" t="s">
        <v>18</v>
      </c>
      <c r="D34" s="6" t="s">
        <v>35</v>
      </c>
      <c r="E34" s="2">
        <v>1990</v>
      </c>
      <c r="F34" s="2">
        <v>360</v>
      </c>
      <c r="G34" s="7">
        <v>150000</v>
      </c>
      <c r="H34" s="22">
        <f t="shared" si="2"/>
        <v>88912</v>
      </c>
      <c r="I34" s="7">
        <v>61088</v>
      </c>
      <c r="J34" s="81">
        <v>33787</v>
      </c>
      <c r="K34" s="80" t="s">
        <v>858</v>
      </c>
      <c r="L34" s="82"/>
    </row>
    <row r="35" spans="1:12" ht="48" customHeight="1">
      <c r="A35" s="4" t="s">
        <v>236</v>
      </c>
      <c r="B35" s="5" t="s">
        <v>231</v>
      </c>
      <c r="C35" s="5" t="s">
        <v>18</v>
      </c>
      <c r="D35" s="6" t="s">
        <v>40</v>
      </c>
      <c r="E35" s="2">
        <v>1988</v>
      </c>
      <c r="F35" s="2">
        <v>324</v>
      </c>
      <c r="G35" s="7">
        <v>1200000</v>
      </c>
      <c r="H35" s="22">
        <f t="shared" si="2"/>
        <v>443697</v>
      </c>
      <c r="I35" s="7">
        <v>756303</v>
      </c>
      <c r="J35" s="81">
        <v>33787</v>
      </c>
      <c r="K35" s="80" t="s">
        <v>858</v>
      </c>
      <c r="L35" s="82"/>
    </row>
    <row r="36" spans="1:12" ht="48" customHeight="1">
      <c r="A36" s="4" t="s">
        <v>237</v>
      </c>
      <c r="B36" s="5" t="s">
        <v>238</v>
      </c>
      <c r="C36" s="5" t="s">
        <v>14</v>
      </c>
      <c r="D36" s="6" t="s">
        <v>239</v>
      </c>
      <c r="E36" s="2">
        <v>1977</v>
      </c>
      <c r="F36" s="2">
        <v>300</v>
      </c>
      <c r="G36" s="7">
        <v>74300</v>
      </c>
      <c r="H36" s="22">
        <f t="shared" si="2"/>
        <v>60198</v>
      </c>
      <c r="I36" s="7">
        <v>14102</v>
      </c>
      <c r="J36" s="81">
        <v>33787</v>
      </c>
      <c r="K36" s="80" t="s">
        <v>858</v>
      </c>
      <c r="L36" s="82"/>
    </row>
    <row r="37" spans="1:12" ht="48" customHeight="1">
      <c r="A37" s="4" t="s">
        <v>240</v>
      </c>
      <c r="B37" s="5" t="s">
        <v>10</v>
      </c>
      <c r="C37" s="5" t="s">
        <v>11</v>
      </c>
      <c r="D37" s="6" t="s">
        <v>239</v>
      </c>
      <c r="E37" s="2">
        <v>1966</v>
      </c>
      <c r="F37" s="2">
        <v>1400</v>
      </c>
      <c r="G37" s="7">
        <v>41000</v>
      </c>
      <c r="H37" s="22">
        <f t="shared" si="2"/>
        <v>41000</v>
      </c>
      <c r="I37" s="7">
        <v>0</v>
      </c>
      <c r="J37" s="81">
        <v>33787</v>
      </c>
      <c r="K37" s="80" t="s">
        <v>858</v>
      </c>
      <c r="L37" s="82"/>
    </row>
    <row r="38" spans="1:12" ht="48" customHeight="1">
      <c r="A38" s="4" t="s">
        <v>241</v>
      </c>
      <c r="B38" s="5" t="s">
        <v>242</v>
      </c>
      <c r="C38" s="5" t="s">
        <v>18</v>
      </c>
      <c r="D38" s="6" t="s">
        <v>208</v>
      </c>
      <c r="E38" s="2">
        <v>1979</v>
      </c>
      <c r="F38" s="2"/>
      <c r="G38" s="7">
        <v>28100</v>
      </c>
      <c r="H38" s="22">
        <f t="shared" si="2"/>
        <v>28100</v>
      </c>
      <c r="I38" s="7">
        <v>0</v>
      </c>
      <c r="J38" s="81">
        <v>33787</v>
      </c>
      <c r="K38" s="80" t="s">
        <v>858</v>
      </c>
      <c r="L38" s="82"/>
    </row>
    <row r="39" spans="1:12" ht="48" customHeight="1">
      <c r="A39" s="4" t="s">
        <v>243</v>
      </c>
      <c r="B39" s="5" t="s">
        <v>244</v>
      </c>
      <c r="C39" s="5" t="s">
        <v>14</v>
      </c>
      <c r="D39" s="6" t="s">
        <v>79</v>
      </c>
      <c r="E39" s="2">
        <v>1993</v>
      </c>
      <c r="F39" s="2" t="s">
        <v>245</v>
      </c>
      <c r="G39" s="7">
        <v>2200</v>
      </c>
      <c r="H39" s="22">
        <f t="shared" si="2"/>
        <v>1203</v>
      </c>
      <c r="I39" s="7">
        <v>997</v>
      </c>
      <c r="J39" s="81">
        <v>33787</v>
      </c>
      <c r="K39" s="80" t="s">
        <v>858</v>
      </c>
      <c r="L39" s="82"/>
    </row>
    <row r="40" spans="1:12" ht="48" customHeight="1">
      <c r="A40" s="4" t="s">
        <v>246</v>
      </c>
      <c r="B40" s="5" t="s">
        <v>247</v>
      </c>
      <c r="C40" s="5" t="s">
        <v>18</v>
      </c>
      <c r="D40" s="6" t="s">
        <v>35</v>
      </c>
      <c r="E40" s="2">
        <v>1990</v>
      </c>
      <c r="F40" s="2">
        <v>32</v>
      </c>
      <c r="G40" s="7">
        <v>20300</v>
      </c>
      <c r="H40" s="22">
        <f t="shared" si="2"/>
        <v>20300</v>
      </c>
      <c r="I40" s="7">
        <v>0</v>
      </c>
      <c r="J40" s="81">
        <v>33787</v>
      </c>
      <c r="K40" s="80" t="s">
        <v>858</v>
      </c>
      <c r="L40" s="82"/>
    </row>
    <row r="41" spans="1:12" ht="48" customHeight="1">
      <c r="A41" s="4" t="s">
        <v>248</v>
      </c>
      <c r="B41" s="5" t="s">
        <v>242</v>
      </c>
      <c r="C41" s="5" t="s">
        <v>18</v>
      </c>
      <c r="D41" s="6" t="s">
        <v>40</v>
      </c>
      <c r="E41" s="2">
        <v>1988</v>
      </c>
      <c r="F41" s="2">
        <v>32</v>
      </c>
      <c r="G41" s="7">
        <v>22300</v>
      </c>
      <c r="H41" s="22">
        <f t="shared" si="2"/>
        <v>22300</v>
      </c>
      <c r="I41" s="7">
        <v>0</v>
      </c>
      <c r="J41" s="81">
        <v>33787</v>
      </c>
      <c r="K41" s="80" t="s">
        <v>858</v>
      </c>
      <c r="L41" s="82"/>
    </row>
    <row r="42" spans="1:12" ht="48" customHeight="1">
      <c r="A42" s="4" t="s">
        <v>249</v>
      </c>
      <c r="B42" s="5" t="s">
        <v>250</v>
      </c>
      <c r="C42" s="5" t="s">
        <v>18</v>
      </c>
      <c r="D42" s="6" t="s">
        <v>183</v>
      </c>
      <c r="E42" s="2">
        <v>1963</v>
      </c>
      <c r="F42" s="2">
        <v>70</v>
      </c>
      <c r="G42" s="7">
        <v>89400</v>
      </c>
      <c r="H42" s="22">
        <f t="shared" si="2"/>
        <v>89400</v>
      </c>
      <c r="I42" s="7"/>
      <c r="J42" s="81">
        <v>33787</v>
      </c>
      <c r="K42" s="80" t="s">
        <v>858</v>
      </c>
      <c r="L42" s="82"/>
    </row>
    <row r="43" spans="1:12" ht="48" customHeight="1">
      <c r="A43" s="4" t="s">
        <v>251</v>
      </c>
      <c r="B43" s="5" t="s">
        <v>250</v>
      </c>
      <c r="C43" s="5" t="s">
        <v>18</v>
      </c>
      <c r="D43" s="6" t="s">
        <v>220</v>
      </c>
      <c r="E43" s="2">
        <v>1975</v>
      </c>
      <c r="F43" s="2">
        <v>410</v>
      </c>
      <c r="G43" s="7">
        <v>131000</v>
      </c>
      <c r="H43" s="22">
        <f t="shared" si="2"/>
        <v>131000</v>
      </c>
      <c r="I43" s="7"/>
      <c r="J43" s="81">
        <v>33787</v>
      </c>
      <c r="K43" s="80" t="s">
        <v>858</v>
      </c>
      <c r="L43" s="82"/>
    </row>
    <row r="44" spans="1:12" ht="48" customHeight="1">
      <c r="A44" s="4" t="s">
        <v>252</v>
      </c>
      <c r="B44" s="5" t="s">
        <v>253</v>
      </c>
      <c r="C44" s="5" t="s">
        <v>11</v>
      </c>
      <c r="D44" s="6" t="s">
        <v>220</v>
      </c>
      <c r="E44" s="2">
        <v>1989</v>
      </c>
      <c r="F44" s="2">
        <v>86</v>
      </c>
      <c r="G44" s="7">
        <v>123300</v>
      </c>
      <c r="H44" s="22">
        <f t="shared" si="2"/>
        <v>123300</v>
      </c>
      <c r="I44" s="7"/>
      <c r="J44" s="81">
        <v>33787</v>
      </c>
      <c r="K44" s="80" t="s">
        <v>858</v>
      </c>
      <c r="L44" s="82"/>
    </row>
    <row r="45" spans="1:12" ht="48" customHeight="1">
      <c r="A45" s="4" t="s">
        <v>254</v>
      </c>
      <c r="B45" s="5" t="s">
        <v>253</v>
      </c>
      <c r="C45" s="5" t="s">
        <v>18</v>
      </c>
      <c r="D45" s="6" t="s">
        <v>255</v>
      </c>
      <c r="E45" s="2">
        <v>1989</v>
      </c>
      <c r="F45" s="2">
        <v>90</v>
      </c>
      <c r="G45" s="7">
        <v>132800</v>
      </c>
      <c r="H45" s="22">
        <f t="shared" si="2"/>
        <v>132800</v>
      </c>
      <c r="I45" s="7"/>
      <c r="J45" s="81">
        <v>33787</v>
      </c>
      <c r="K45" s="80" t="s">
        <v>858</v>
      </c>
      <c r="L45" s="82"/>
    </row>
    <row r="46" spans="1:12" ht="48" customHeight="1">
      <c r="A46" s="4" t="s">
        <v>256</v>
      </c>
      <c r="B46" s="5" t="s">
        <v>253</v>
      </c>
      <c r="C46" s="5" t="s">
        <v>18</v>
      </c>
      <c r="D46" s="6" t="s">
        <v>257</v>
      </c>
      <c r="E46" s="2">
        <v>1984</v>
      </c>
      <c r="F46" s="2">
        <v>77</v>
      </c>
      <c r="G46" s="7">
        <v>82200</v>
      </c>
      <c r="H46" s="22">
        <f t="shared" si="2"/>
        <v>82200</v>
      </c>
      <c r="I46" s="7">
        <v>0</v>
      </c>
      <c r="J46" s="81">
        <v>33787</v>
      </c>
      <c r="K46" s="80" t="s">
        <v>858</v>
      </c>
      <c r="L46" s="82"/>
    </row>
    <row r="47" spans="1:12" ht="48" customHeight="1">
      <c r="A47" s="4" t="s">
        <v>258</v>
      </c>
      <c r="B47" s="5" t="s">
        <v>253</v>
      </c>
      <c r="C47" s="5" t="s">
        <v>18</v>
      </c>
      <c r="D47" s="6" t="s">
        <v>259</v>
      </c>
      <c r="E47" s="2">
        <v>1983</v>
      </c>
      <c r="F47" s="2">
        <v>85</v>
      </c>
      <c r="G47" s="7">
        <v>90800</v>
      </c>
      <c r="H47" s="22">
        <f t="shared" si="2"/>
        <v>90800</v>
      </c>
      <c r="I47" s="7">
        <v>0</v>
      </c>
      <c r="J47" s="81">
        <v>33787</v>
      </c>
      <c r="K47" s="80" t="s">
        <v>858</v>
      </c>
      <c r="L47" s="82"/>
    </row>
    <row r="48" spans="1:12" ht="48" customHeight="1">
      <c r="A48" s="4" t="s">
        <v>260</v>
      </c>
      <c r="B48" s="5" t="s">
        <v>253</v>
      </c>
      <c r="C48" s="5" t="s">
        <v>18</v>
      </c>
      <c r="D48" s="6" t="s">
        <v>261</v>
      </c>
      <c r="E48" s="2">
        <v>1976</v>
      </c>
      <c r="F48" s="2">
        <v>27</v>
      </c>
      <c r="G48" s="7">
        <v>28800</v>
      </c>
      <c r="H48" s="22">
        <f t="shared" si="2"/>
        <v>28800</v>
      </c>
      <c r="I48" s="7">
        <v>0</v>
      </c>
      <c r="J48" s="81">
        <v>33787</v>
      </c>
      <c r="K48" s="80" t="s">
        <v>858</v>
      </c>
      <c r="L48" s="82"/>
    </row>
    <row r="49" spans="1:12" ht="48" customHeight="1">
      <c r="A49" s="4" t="s">
        <v>262</v>
      </c>
      <c r="B49" s="5" t="s">
        <v>253</v>
      </c>
      <c r="C49" s="5" t="s">
        <v>18</v>
      </c>
      <c r="D49" s="6" t="s">
        <v>263</v>
      </c>
      <c r="E49" s="2">
        <v>1976</v>
      </c>
      <c r="F49" s="2">
        <v>46</v>
      </c>
      <c r="G49" s="7">
        <v>49100</v>
      </c>
      <c r="H49" s="22">
        <f t="shared" si="2"/>
        <v>49100</v>
      </c>
      <c r="I49" s="7">
        <v>0</v>
      </c>
      <c r="J49" s="81">
        <v>33787</v>
      </c>
      <c r="K49" s="80" t="s">
        <v>858</v>
      </c>
      <c r="L49" s="82"/>
    </row>
    <row r="50" spans="1:12" ht="48" customHeight="1">
      <c r="A50" s="4" t="s">
        <v>264</v>
      </c>
      <c r="B50" s="5" t="s">
        <v>253</v>
      </c>
      <c r="C50" s="5" t="s">
        <v>18</v>
      </c>
      <c r="D50" s="6" t="s">
        <v>169</v>
      </c>
      <c r="E50" s="2">
        <v>1984</v>
      </c>
      <c r="F50" s="2">
        <v>380</v>
      </c>
      <c r="G50" s="7">
        <v>334100</v>
      </c>
      <c r="H50" s="22">
        <f t="shared" si="2"/>
        <v>334100</v>
      </c>
      <c r="I50" s="7"/>
      <c r="J50" s="81">
        <v>33787</v>
      </c>
      <c r="K50" s="80" t="s">
        <v>858</v>
      </c>
      <c r="L50" s="82"/>
    </row>
    <row r="51" spans="1:12" ht="48" customHeight="1">
      <c r="A51" s="4" t="s">
        <v>265</v>
      </c>
      <c r="B51" s="5" t="s">
        <v>253</v>
      </c>
      <c r="C51" s="5" t="s">
        <v>18</v>
      </c>
      <c r="D51" s="6" t="s">
        <v>220</v>
      </c>
      <c r="E51" s="2">
        <v>1983</v>
      </c>
      <c r="F51" s="2">
        <v>120</v>
      </c>
      <c r="G51" s="7">
        <v>46500</v>
      </c>
      <c r="H51" s="22">
        <f t="shared" si="2"/>
        <v>46500</v>
      </c>
      <c r="I51" s="7"/>
      <c r="J51" s="81">
        <v>33787</v>
      </c>
      <c r="K51" s="80" t="s">
        <v>858</v>
      </c>
      <c r="L51" s="82"/>
    </row>
    <row r="52" spans="1:12" ht="48" customHeight="1">
      <c r="A52" s="4" t="s">
        <v>266</v>
      </c>
      <c r="B52" s="5" t="s">
        <v>253</v>
      </c>
      <c r="C52" s="5" t="s">
        <v>18</v>
      </c>
      <c r="D52" s="6" t="s">
        <v>169</v>
      </c>
      <c r="E52" s="2">
        <v>1988</v>
      </c>
      <c r="F52" s="2">
        <v>520</v>
      </c>
      <c r="G52" s="7">
        <v>447200</v>
      </c>
      <c r="H52" s="22">
        <f t="shared" si="2"/>
        <v>447200</v>
      </c>
      <c r="I52" s="7"/>
      <c r="J52" s="81">
        <v>33787</v>
      </c>
      <c r="K52" s="80" t="s">
        <v>858</v>
      </c>
      <c r="L52" s="82"/>
    </row>
    <row r="53" spans="1:12" ht="48" customHeight="1">
      <c r="A53" s="4" t="s">
        <v>267</v>
      </c>
      <c r="B53" s="5" t="s">
        <v>253</v>
      </c>
      <c r="C53" s="5" t="s">
        <v>18</v>
      </c>
      <c r="D53" s="6" t="s">
        <v>268</v>
      </c>
      <c r="E53" s="2">
        <v>1984</v>
      </c>
      <c r="F53" s="2">
        <v>143</v>
      </c>
      <c r="G53" s="7">
        <v>133900</v>
      </c>
      <c r="H53" s="22">
        <f t="shared" si="2"/>
        <v>133900</v>
      </c>
      <c r="I53" s="7">
        <v>0</v>
      </c>
      <c r="J53" s="81">
        <v>33787</v>
      </c>
      <c r="K53" s="80" t="s">
        <v>858</v>
      </c>
      <c r="L53" s="82"/>
    </row>
    <row r="54" spans="1:12" ht="48" customHeight="1">
      <c r="A54" s="4" t="s">
        <v>269</v>
      </c>
      <c r="B54" s="5" t="s">
        <v>253</v>
      </c>
      <c r="C54" s="5" t="s">
        <v>18</v>
      </c>
      <c r="D54" s="6" t="s">
        <v>208</v>
      </c>
      <c r="E54" s="2">
        <v>1999</v>
      </c>
      <c r="F54" s="2">
        <v>268</v>
      </c>
      <c r="G54" s="7">
        <v>79900</v>
      </c>
      <c r="H54" s="22">
        <f t="shared" si="2"/>
        <v>79900</v>
      </c>
      <c r="I54" s="7"/>
      <c r="J54" s="81">
        <v>33787</v>
      </c>
      <c r="K54" s="80" t="s">
        <v>858</v>
      </c>
      <c r="L54" s="82"/>
    </row>
    <row r="55" spans="1:12" ht="48" customHeight="1">
      <c r="A55" s="4" t="s">
        <v>270</v>
      </c>
      <c r="B55" s="5" t="s">
        <v>250</v>
      </c>
      <c r="C55" s="5" t="s">
        <v>18</v>
      </c>
      <c r="D55" s="6" t="s">
        <v>208</v>
      </c>
      <c r="E55" s="2">
        <v>1998</v>
      </c>
      <c r="F55" s="2">
        <v>437</v>
      </c>
      <c r="G55" s="7">
        <v>700000</v>
      </c>
      <c r="H55" s="22">
        <f t="shared" si="2"/>
        <v>700000</v>
      </c>
      <c r="I55" s="7"/>
      <c r="J55" s="81">
        <v>33787</v>
      </c>
      <c r="K55" s="80" t="s">
        <v>858</v>
      </c>
      <c r="L55" s="82"/>
    </row>
    <row r="56" spans="1:12" ht="48" customHeight="1">
      <c r="A56" s="4" t="s">
        <v>271</v>
      </c>
      <c r="B56" s="5" t="s">
        <v>272</v>
      </c>
      <c r="C56" s="5" t="s">
        <v>18</v>
      </c>
      <c r="D56" s="6" t="s">
        <v>232</v>
      </c>
      <c r="E56" s="2">
        <v>1980</v>
      </c>
      <c r="F56" s="2"/>
      <c r="G56" s="7">
        <v>717500</v>
      </c>
      <c r="H56" s="22">
        <f t="shared" si="2"/>
        <v>717500</v>
      </c>
      <c r="I56" s="7">
        <v>0</v>
      </c>
      <c r="J56" s="81">
        <v>33787</v>
      </c>
      <c r="K56" s="80" t="s">
        <v>858</v>
      </c>
      <c r="L56" s="82"/>
    </row>
    <row r="57" spans="1:12" ht="48" customHeight="1">
      <c r="A57" s="4" t="s">
        <v>273</v>
      </c>
      <c r="B57" s="5" t="s">
        <v>272</v>
      </c>
      <c r="C57" s="5" t="s">
        <v>18</v>
      </c>
      <c r="D57" s="6" t="s">
        <v>232</v>
      </c>
      <c r="E57" s="2">
        <v>1980</v>
      </c>
      <c r="F57" s="2"/>
      <c r="G57" s="7">
        <v>204000</v>
      </c>
      <c r="H57" s="22">
        <f t="shared" si="2"/>
        <v>204000</v>
      </c>
      <c r="I57" s="7">
        <v>0</v>
      </c>
      <c r="J57" s="81">
        <v>33787</v>
      </c>
      <c r="K57" s="80" t="s">
        <v>858</v>
      </c>
      <c r="L57" s="82"/>
    </row>
    <row r="58" spans="1:12" ht="48" customHeight="1">
      <c r="A58" s="4" t="s">
        <v>274</v>
      </c>
      <c r="B58" s="5" t="s">
        <v>272</v>
      </c>
      <c r="C58" s="5" t="s">
        <v>18</v>
      </c>
      <c r="D58" s="6" t="s">
        <v>232</v>
      </c>
      <c r="E58" s="2">
        <v>1980</v>
      </c>
      <c r="F58" s="2"/>
      <c r="G58" s="7">
        <v>91500</v>
      </c>
      <c r="H58" s="22">
        <f t="shared" si="2"/>
        <v>91500</v>
      </c>
      <c r="I58" s="7">
        <v>0</v>
      </c>
      <c r="J58" s="81">
        <v>33787</v>
      </c>
      <c r="K58" s="80" t="s">
        <v>858</v>
      </c>
      <c r="L58" s="82"/>
    </row>
    <row r="59" spans="1:12" ht="48" customHeight="1">
      <c r="A59" s="4" t="s">
        <v>275</v>
      </c>
      <c r="B59" s="5" t="s">
        <v>272</v>
      </c>
      <c r="C59" s="5" t="s">
        <v>18</v>
      </c>
      <c r="D59" s="6" t="s">
        <v>35</v>
      </c>
      <c r="E59" s="2">
        <v>1990</v>
      </c>
      <c r="F59" s="2"/>
      <c r="G59" s="7">
        <v>400000</v>
      </c>
      <c r="H59" s="22">
        <f t="shared" si="2"/>
        <v>400000</v>
      </c>
      <c r="I59" s="7"/>
      <c r="J59" s="81">
        <v>33787</v>
      </c>
      <c r="K59" s="80" t="s">
        <v>858</v>
      </c>
      <c r="L59" s="82"/>
    </row>
    <row r="60" spans="1:12" ht="48" customHeight="1">
      <c r="A60" s="4" t="s">
        <v>276</v>
      </c>
      <c r="B60" s="5" t="s">
        <v>272</v>
      </c>
      <c r="C60" s="5" t="s">
        <v>18</v>
      </c>
      <c r="D60" s="6" t="s">
        <v>40</v>
      </c>
      <c r="E60" s="2">
        <v>1988</v>
      </c>
      <c r="F60" s="2"/>
      <c r="G60" s="7">
        <v>320000</v>
      </c>
      <c r="H60" s="22">
        <f t="shared" si="2"/>
        <v>320000</v>
      </c>
      <c r="I60" s="7"/>
      <c r="J60" s="81">
        <v>33787</v>
      </c>
      <c r="K60" s="80" t="s">
        <v>858</v>
      </c>
      <c r="L60" s="82"/>
    </row>
    <row r="61" spans="1:12" ht="48" customHeight="1">
      <c r="A61" s="4" t="s">
        <v>277</v>
      </c>
      <c r="B61" s="5" t="s">
        <v>242</v>
      </c>
      <c r="C61" s="5" t="s">
        <v>18</v>
      </c>
      <c r="D61" s="6" t="s">
        <v>155</v>
      </c>
      <c r="E61" s="2">
        <v>2003</v>
      </c>
      <c r="F61" s="2"/>
      <c r="G61" s="7">
        <v>292900</v>
      </c>
      <c r="H61" s="22">
        <f t="shared" si="2"/>
        <v>292900</v>
      </c>
      <c r="I61" s="7"/>
      <c r="J61" s="81">
        <v>33787</v>
      </c>
      <c r="K61" s="80" t="s">
        <v>858</v>
      </c>
      <c r="L61" s="82"/>
    </row>
    <row r="62" spans="1:12" ht="48" customHeight="1">
      <c r="A62" s="4" t="s">
        <v>278</v>
      </c>
      <c r="B62" s="5" t="s">
        <v>247</v>
      </c>
      <c r="C62" s="5" t="s">
        <v>18</v>
      </c>
      <c r="D62" s="6" t="s">
        <v>22</v>
      </c>
      <c r="E62" s="2">
        <v>2006</v>
      </c>
      <c r="F62" s="2"/>
      <c r="G62" s="7">
        <v>1081100</v>
      </c>
      <c r="H62" s="22">
        <f t="shared" si="2"/>
        <v>1081100</v>
      </c>
      <c r="I62" s="7"/>
      <c r="J62" s="81">
        <v>33787</v>
      </c>
      <c r="K62" s="80" t="s">
        <v>858</v>
      </c>
      <c r="L62" s="82"/>
    </row>
    <row r="63" spans="1:12" ht="253.5" customHeight="1">
      <c r="A63" s="4" t="s">
        <v>279</v>
      </c>
      <c r="B63" s="5" t="s">
        <v>280</v>
      </c>
      <c r="C63" s="5" t="s">
        <v>11</v>
      </c>
      <c r="D63" s="6" t="s">
        <v>26</v>
      </c>
      <c r="E63" s="2">
        <v>1963</v>
      </c>
      <c r="F63" s="2">
        <v>1689.8</v>
      </c>
      <c r="G63" s="7">
        <v>9986830</v>
      </c>
      <c r="H63" s="22">
        <f t="shared" si="2"/>
        <v>5878003</v>
      </c>
      <c r="I63" s="7">
        <v>4108827</v>
      </c>
      <c r="J63" s="81">
        <v>33787</v>
      </c>
      <c r="K63" s="80" t="s">
        <v>858</v>
      </c>
      <c r="L63" s="80" t="s">
        <v>891</v>
      </c>
    </row>
    <row r="64" spans="1:12" ht="48" customHeight="1">
      <c r="A64" s="4" t="s">
        <v>281</v>
      </c>
      <c r="B64" s="5" t="s">
        <v>282</v>
      </c>
      <c r="C64" s="5" t="s">
        <v>14</v>
      </c>
      <c r="D64" s="6" t="s">
        <v>26</v>
      </c>
      <c r="E64" s="2">
        <v>1977</v>
      </c>
      <c r="F64" s="2">
        <v>195</v>
      </c>
      <c r="G64" s="7">
        <v>100136.97</v>
      </c>
      <c r="H64" s="22">
        <f t="shared" si="2"/>
        <v>100136.97</v>
      </c>
      <c r="I64" s="7">
        <v>0</v>
      </c>
      <c r="J64" s="81">
        <v>33787</v>
      </c>
      <c r="K64" s="80" t="s">
        <v>858</v>
      </c>
      <c r="L64" s="80" t="s">
        <v>894</v>
      </c>
    </row>
    <row r="65" spans="1:12" ht="48" customHeight="1">
      <c r="A65" s="4" t="s">
        <v>283</v>
      </c>
      <c r="B65" s="5" t="s">
        <v>150</v>
      </c>
      <c r="C65" s="5" t="s">
        <v>18</v>
      </c>
      <c r="D65" s="6" t="s">
        <v>151</v>
      </c>
      <c r="E65" s="2">
        <v>1981</v>
      </c>
      <c r="F65" s="2">
        <v>600</v>
      </c>
      <c r="G65" s="7">
        <v>103261</v>
      </c>
      <c r="H65" s="22">
        <f t="shared" si="2"/>
        <v>45834.76</v>
      </c>
      <c r="I65" s="22">
        <v>57426.239999999998</v>
      </c>
      <c r="J65" s="81">
        <v>33787</v>
      </c>
      <c r="K65" s="80" t="s">
        <v>858</v>
      </c>
      <c r="L65" s="82"/>
    </row>
    <row r="66" spans="1:12" ht="48" customHeight="1">
      <c r="A66" s="4" t="s">
        <v>477</v>
      </c>
      <c r="B66" s="5" t="s">
        <v>152</v>
      </c>
      <c r="C66" s="5" t="s">
        <v>18</v>
      </c>
      <c r="D66" s="6" t="s">
        <v>153</v>
      </c>
      <c r="E66" s="2">
        <v>1981</v>
      </c>
      <c r="F66" s="2">
        <v>100</v>
      </c>
      <c r="G66" s="7">
        <v>628</v>
      </c>
      <c r="H66" s="22">
        <f t="shared" si="2"/>
        <v>474.62</v>
      </c>
      <c r="I66" s="22">
        <v>153.38</v>
      </c>
      <c r="J66" s="81">
        <v>33787</v>
      </c>
      <c r="K66" s="80" t="s">
        <v>858</v>
      </c>
      <c r="L66" s="82"/>
    </row>
    <row r="67" spans="1:12" ht="48" customHeight="1">
      <c r="A67" s="4" t="s">
        <v>478</v>
      </c>
      <c r="B67" s="5" t="s">
        <v>154</v>
      </c>
      <c r="C67" s="5" t="s">
        <v>18</v>
      </c>
      <c r="D67" s="6" t="s">
        <v>155</v>
      </c>
      <c r="E67" s="2">
        <v>1958</v>
      </c>
      <c r="F67" s="2">
        <v>1980</v>
      </c>
      <c r="G67" s="7">
        <v>168477</v>
      </c>
      <c r="H67" s="22">
        <f t="shared" si="2"/>
        <v>91724.79</v>
      </c>
      <c r="I67" s="22">
        <v>76752.210000000006</v>
      </c>
      <c r="J67" s="81">
        <v>33787</v>
      </c>
      <c r="K67" s="80" t="s">
        <v>858</v>
      </c>
      <c r="L67" s="82"/>
    </row>
    <row r="68" spans="1:12" ht="48" customHeight="1">
      <c r="A68" s="4" t="s">
        <v>479</v>
      </c>
      <c r="B68" s="5" t="s">
        <v>156</v>
      </c>
      <c r="C68" s="5" t="s">
        <v>18</v>
      </c>
      <c r="D68" s="6" t="s">
        <v>79</v>
      </c>
      <c r="E68" s="2">
        <v>1975</v>
      </c>
      <c r="F68" s="2">
        <v>125</v>
      </c>
      <c r="G68" s="7">
        <v>101951</v>
      </c>
      <c r="H68" s="22">
        <f t="shared" si="2"/>
        <v>101951</v>
      </c>
      <c r="I68" s="22">
        <v>0</v>
      </c>
      <c r="J68" s="81">
        <v>33787</v>
      </c>
      <c r="K68" s="80" t="s">
        <v>858</v>
      </c>
      <c r="L68" s="82"/>
    </row>
    <row r="69" spans="1:12" ht="48" customHeight="1">
      <c r="A69" s="4" t="s">
        <v>480</v>
      </c>
      <c r="B69" s="5" t="s">
        <v>157</v>
      </c>
      <c r="C69" s="5" t="s">
        <v>18</v>
      </c>
      <c r="D69" s="6" t="s">
        <v>79</v>
      </c>
      <c r="E69" s="2">
        <v>1979</v>
      </c>
      <c r="F69" s="2">
        <v>900</v>
      </c>
      <c r="G69" s="7">
        <v>26471</v>
      </c>
      <c r="H69" s="22">
        <f t="shared" si="2"/>
        <v>14343</v>
      </c>
      <c r="I69" s="22">
        <v>12128</v>
      </c>
      <c r="J69" s="81">
        <v>33787</v>
      </c>
      <c r="K69" s="80" t="s">
        <v>858</v>
      </c>
      <c r="L69" s="82"/>
    </row>
    <row r="70" spans="1:12" ht="48" customHeight="1">
      <c r="A70" s="4" t="s">
        <v>481</v>
      </c>
      <c r="B70" s="5" t="s">
        <v>158</v>
      </c>
      <c r="C70" s="5" t="s">
        <v>18</v>
      </c>
      <c r="D70" s="6" t="s">
        <v>159</v>
      </c>
      <c r="E70" s="2">
        <v>1983</v>
      </c>
      <c r="F70" s="2">
        <v>180</v>
      </c>
      <c r="G70" s="7">
        <v>30677</v>
      </c>
      <c r="H70" s="22">
        <f t="shared" si="2"/>
        <v>13003.66</v>
      </c>
      <c r="I70" s="22">
        <v>17673.34</v>
      </c>
      <c r="J70" s="81">
        <v>33787</v>
      </c>
      <c r="K70" s="80" t="s">
        <v>858</v>
      </c>
      <c r="L70" s="82"/>
    </row>
    <row r="71" spans="1:12" ht="48" customHeight="1">
      <c r="A71" s="4" t="s">
        <v>482</v>
      </c>
      <c r="B71" s="5" t="s">
        <v>160</v>
      </c>
      <c r="C71" s="5" t="s">
        <v>18</v>
      </c>
      <c r="D71" s="6" t="s">
        <v>161</v>
      </c>
      <c r="E71" s="2">
        <v>1969</v>
      </c>
      <c r="F71" s="2">
        <v>3175</v>
      </c>
      <c r="G71" s="7">
        <v>164912</v>
      </c>
      <c r="H71" s="22">
        <f t="shared" si="2"/>
        <v>164912</v>
      </c>
      <c r="I71" s="22">
        <v>0</v>
      </c>
      <c r="J71" s="81">
        <v>33787</v>
      </c>
      <c r="K71" s="80" t="s">
        <v>858</v>
      </c>
      <c r="L71" s="82"/>
    </row>
    <row r="72" spans="1:12" ht="48" customHeight="1">
      <c r="A72" s="4" t="s">
        <v>483</v>
      </c>
      <c r="B72" s="5" t="s">
        <v>162</v>
      </c>
      <c r="C72" s="5" t="s">
        <v>18</v>
      </c>
      <c r="D72" s="6" t="s">
        <v>163</v>
      </c>
      <c r="E72" s="2">
        <v>1969</v>
      </c>
      <c r="F72" s="2">
        <v>150</v>
      </c>
      <c r="G72" s="7">
        <v>148031</v>
      </c>
      <c r="H72" s="22">
        <f t="shared" si="2"/>
        <v>128732.73</v>
      </c>
      <c r="I72" s="22">
        <v>19298.27</v>
      </c>
      <c r="J72" s="81">
        <v>33787</v>
      </c>
      <c r="K72" s="80" t="s">
        <v>858</v>
      </c>
      <c r="L72" s="82"/>
    </row>
    <row r="73" spans="1:12" ht="48" customHeight="1">
      <c r="A73" s="4" t="s">
        <v>484</v>
      </c>
      <c r="B73" s="5" t="s">
        <v>164</v>
      </c>
      <c r="C73" s="5" t="s">
        <v>18</v>
      </c>
      <c r="D73" s="6" t="s">
        <v>165</v>
      </c>
      <c r="E73" s="2">
        <v>1986</v>
      </c>
      <c r="F73" s="2">
        <v>750</v>
      </c>
      <c r="G73" s="7">
        <v>75330</v>
      </c>
      <c r="H73" s="22">
        <f t="shared" si="2"/>
        <v>54522.69</v>
      </c>
      <c r="I73" s="22">
        <v>20807.310000000001</v>
      </c>
      <c r="J73" s="81">
        <v>33787</v>
      </c>
      <c r="K73" s="80" t="s">
        <v>858</v>
      </c>
      <c r="L73" s="82"/>
    </row>
    <row r="74" spans="1:12" ht="48" customHeight="1">
      <c r="A74" s="4" t="s">
        <v>485</v>
      </c>
      <c r="B74" s="5" t="s">
        <v>166</v>
      </c>
      <c r="C74" s="5" t="s">
        <v>18</v>
      </c>
      <c r="D74" s="6" t="s">
        <v>167</v>
      </c>
      <c r="E74" s="2">
        <v>1990</v>
      </c>
      <c r="F74" s="2">
        <v>480</v>
      </c>
      <c r="G74" s="7">
        <v>190123</v>
      </c>
      <c r="H74" s="22">
        <f t="shared" si="2"/>
        <v>147120.74</v>
      </c>
      <c r="I74" s="22">
        <v>43002.26</v>
      </c>
      <c r="J74" s="81">
        <v>33787</v>
      </c>
      <c r="K74" s="80" t="s">
        <v>858</v>
      </c>
      <c r="L74" s="82"/>
    </row>
    <row r="75" spans="1:12" ht="48" customHeight="1">
      <c r="A75" s="4" t="s">
        <v>486</v>
      </c>
      <c r="B75" s="5" t="s">
        <v>168</v>
      </c>
      <c r="C75" s="5" t="s">
        <v>18</v>
      </c>
      <c r="D75" s="6" t="s">
        <v>169</v>
      </c>
      <c r="E75" s="2">
        <v>1988</v>
      </c>
      <c r="F75" s="2">
        <v>44</v>
      </c>
      <c r="G75" s="7">
        <v>4310</v>
      </c>
      <c r="H75" s="22">
        <f t="shared" si="2"/>
        <v>3166.15</v>
      </c>
      <c r="I75" s="22">
        <v>1143.8499999999999</v>
      </c>
      <c r="J75" s="81">
        <v>33787</v>
      </c>
      <c r="K75" s="80" t="s">
        <v>858</v>
      </c>
      <c r="L75" s="82"/>
    </row>
    <row r="76" spans="1:12" ht="48" customHeight="1">
      <c r="A76" s="4" t="s">
        <v>487</v>
      </c>
      <c r="B76" s="5" t="s">
        <v>170</v>
      </c>
      <c r="C76" s="5" t="s">
        <v>18</v>
      </c>
      <c r="D76" s="6" t="s">
        <v>171</v>
      </c>
      <c r="E76" s="2">
        <v>1993</v>
      </c>
      <c r="F76" s="2">
        <v>600</v>
      </c>
      <c r="G76" s="7">
        <v>7482</v>
      </c>
      <c r="H76" s="22">
        <f t="shared" si="2"/>
        <v>6914.79</v>
      </c>
      <c r="I76" s="22">
        <v>567.21</v>
      </c>
      <c r="J76" s="81">
        <v>33787</v>
      </c>
      <c r="K76" s="80" t="s">
        <v>858</v>
      </c>
      <c r="L76" s="82"/>
    </row>
    <row r="77" spans="1:12" ht="48" customHeight="1">
      <c r="A77" s="4" t="s">
        <v>488</v>
      </c>
      <c r="B77" s="5" t="s">
        <v>172</v>
      </c>
      <c r="C77" s="5" t="s">
        <v>18</v>
      </c>
      <c r="D77" s="6" t="s">
        <v>173</v>
      </c>
      <c r="E77" s="2">
        <v>1994</v>
      </c>
      <c r="F77" s="2">
        <v>100</v>
      </c>
      <c r="G77" s="7">
        <v>2966</v>
      </c>
      <c r="H77" s="22">
        <f t="shared" si="2"/>
        <v>2966</v>
      </c>
      <c r="I77" s="22">
        <v>0</v>
      </c>
      <c r="J77" s="81">
        <v>33787</v>
      </c>
      <c r="K77" s="80" t="s">
        <v>858</v>
      </c>
      <c r="L77" s="82"/>
    </row>
    <row r="78" spans="1:12" ht="48" customHeight="1">
      <c r="A78" s="4" t="s">
        <v>489</v>
      </c>
      <c r="B78" s="5" t="s">
        <v>174</v>
      </c>
      <c r="C78" s="5" t="s">
        <v>18</v>
      </c>
      <c r="D78" s="6" t="s">
        <v>175</v>
      </c>
      <c r="E78" s="2">
        <v>1993</v>
      </c>
      <c r="F78" s="2">
        <v>1200</v>
      </c>
      <c r="G78" s="7">
        <v>89780</v>
      </c>
      <c r="H78" s="22">
        <f t="shared" si="2"/>
        <v>89780</v>
      </c>
      <c r="I78" s="22">
        <v>0</v>
      </c>
      <c r="J78" s="81">
        <v>33787</v>
      </c>
      <c r="K78" s="80" t="s">
        <v>858</v>
      </c>
      <c r="L78" s="82"/>
    </row>
    <row r="79" spans="1:12" ht="48" customHeight="1">
      <c r="A79" s="4" t="s">
        <v>490</v>
      </c>
      <c r="B79" s="5" t="s">
        <v>176</v>
      </c>
      <c r="C79" s="5" t="s">
        <v>18</v>
      </c>
      <c r="D79" s="6" t="s">
        <v>177</v>
      </c>
      <c r="E79" s="2">
        <v>1978</v>
      </c>
      <c r="F79" s="2">
        <v>600</v>
      </c>
      <c r="G79" s="7">
        <v>102970</v>
      </c>
      <c r="H79" s="22">
        <f t="shared" si="2"/>
        <v>57342.67</v>
      </c>
      <c r="I79" s="22">
        <v>45627.33</v>
      </c>
      <c r="J79" s="81">
        <v>33787</v>
      </c>
      <c r="K79" s="80" t="s">
        <v>858</v>
      </c>
      <c r="L79" s="82"/>
    </row>
    <row r="80" spans="1:12" ht="48" customHeight="1">
      <c r="A80" s="4" t="s">
        <v>491</v>
      </c>
      <c r="B80" s="5" t="s">
        <v>178</v>
      </c>
      <c r="C80" s="5" t="s">
        <v>18</v>
      </c>
      <c r="D80" s="6" t="s">
        <v>179</v>
      </c>
      <c r="E80" s="2">
        <v>2002</v>
      </c>
      <c r="F80" s="2">
        <v>620</v>
      </c>
      <c r="G80" s="7">
        <v>58610</v>
      </c>
      <c r="H80" s="22">
        <f t="shared" si="2"/>
        <v>7970.8799999999974</v>
      </c>
      <c r="I80" s="22">
        <v>50639.12</v>
      </c>
      <c r="J80" s="81">
        <v>33787</v>
      </c>
      <c r="K80" s="80" t="s">
        <v>858</v>
      </c>
      <c r="L80" s="82"/>
    </row>
    <row r="81" spans="1:12" ht="48" customHeight="1">
      <c r="A81" s="4" t="s">
        <v>492</v>
      </c>
      <c r="B81" s="21" t="s">
        <v>180</v>
      </c>
      <c r="C81" s="5" t="s">
        <v>18</v>
      </c>
      <c r="D81" s="6" t="s">
        <v>181</v>
      </c>
      <c r="E81" s="2">
        <v>1958</v>
      </c>
      <c r="F81" s="2">
        <v>820</v>
      </c>
      <c r="G81" s="7">
        <v>81079</v>
      </c>
      <c r="H81" s="22">
        <f t="shared" si="2"/>
        <v>53692.65</v>
      </c>
      <c r="I81" s="22">
        <v>27386.35</v>
      </c>
      <c r="J81" s="81">
        <v>33787</v>
      </c>
      <c r="K81" s="80" t="s">
        <v>858</v>
      </c>
      <c r="L81" s="82"/>
    </row>
    <row r="82" spans="1:12" ht="48" customHeight="1">
      <c r="A82" s="4" t="s">
        <v>493</v>
      </c>
      <c r="B82" s="5" t="s">
        <v>182</v>
      </c>
      <c r="C82" s="5" t="s">
        <v>18</v>
      </c>
      <c r="D82" s="6" t="s">
        <v>183</v>
      </c>
      <c r="E82" s="2">
        <v>1975</v>
      </c>
      <c r="F82" s="2">
        <v>50</v>
      </c>
      <c r="G82" s="7">
        <v>69282</v>
      </c>
      <c r="H82" s="22">
        <f t="shared" si="2"/>
        <v>69282</v>
      </c>
      <c r="I82" s="22">
        <v>0</v>
      </c>
      <c r="J82" s="81">
        <v>33787</v>
      </c>
      <c r="K82" s="80" t="s">
        <v>858</v>
      </c>
      <c r="L82" s="82"/>
    </row>
    <row r="83" spans="1:12" ht="48" customHeight="1">
      <c r="A83" s="4" t="s">
        <v>494</v>
      </c>
      <c r="B83" s="5" t="s">
        <v>184</v>
      </c>
      <c r="C83" s="5" t="s">
        <v>18</v>
      </c>
      <c r="D83" s="6" t="s">
        <v>185</v>
      </c>
      <c r="E83" s="2">
        <v>1972</v>
      </c>
      <c r="F83" s="2">
        <v>4</v>
      </c>
      <c r="G83" s="7">
        <v>10209</v>
      </c>
      <c r="H83" s="22">
        <f t="shared" si="2"/>
        <v>10209</v>
      </c>
      <c r="I83" s="22">
        <v>0</v>
      </c>
      <c r="J83" s="81">
        <v>33787</v>
      </c>
      <c r="K83" s="80" t="s">
        <v>858</v>
      </c>
      <c r="L83" s="82"/>
    </row>
    <row r="84" spans="1:12" ht="48" customHeight="1">
      <c r="A84" s="4" t="s">
        <v>495</v>
      </c>
      <c r="B84" s="5" t="s">
        <v>186</v>
      </c>
      <c r="C84" s="5" t="s">
        <v>11</v>
      </c>
      <c r="D84" s="6" t="s">
        <v>187</v>
      </c>
      <c r="E84" s="2">
        <v>1961</v>
      </c>
      <c r="F84" s="2">
        <v>79.2</v>
      </c>
      <c r="G84" s="7">
        <v>38378.92</v>
      </c>
      <c r="H84" s="22">
        <f t="shared" si="2"/>
        <v>38378.92</v>
      </c>
      <c r="I84" s="22">
        <v>0</v>
      </c>
      <c r="J84" s="81">
        <v>33787</v>
      </c>
      <c r="K84" s="80" t="s">
        <v>858</v>
      </c>
      <c r="L84" s="82"/>
    </row>
    <row r="85" spans="1:12" ht="48" customHeight="1">
      <c r="A85" s="4" t="s">
        <v>496</v>
      </c>
      <c r="B85" s="5" t="s">
        <v>188</v>
      </c>
      <c r="C85" s="5" t="s">
        <v>18</v>
      </c>
      <c r="D85" s="6" t="s">
        <v>189</v>
      </c>
      <c r="E85" s="2">
        <v>1983</v>
      </c>
      <c r="F85" s="2">
        <v>13</v>
      </c>
      <c r="G85" s="7">
        <v>17322.169999999998</v>
      </c>
      <c r="H85" s="22">
        <f t="shared" si="2"/>
        <v>8253.4299999999985</v>
      </c>
      <c r="I85" s="22">
        <v>9068.74</v>
      </c>
      <c r="J85" s="81">
        <v>33787</v>
      </c>
      <c r="K85" s="80" t="s">
        <v>858</v>
      </c>
      <c r="L85" s="82"/>
    </row>
    <row r="86" spans="1:12" ht="48" customHeight="1">
      <c r="A86" s="4" t="s">
        <v>497</v>
      </c>
      <c r="B86" s="5" t="s">
        <v>190</v>
      </c>
      <c r="C86" s="5" t="s">
        <v>18</v>
      </c>
      <c r="D86" s="6" t="s">
        <v>191</v>
      </c>
      <c r="E86" s="2">
        <v>1977</v>
      </c>
      <c r="F86" s="2"/>
      <c r="G86" s="7">
        <v>107148.35</v>
      </c>
      <c r="H86" s="22">
        <f t="shared" si="2"/>
        <v>107148.35</v>
      </c>
      <c r="I86" s="22">
        <v>0</v>
      </c>
      <c r="J86" s="81">
        <v>33787</v>
      </c>
      <c r="K86" s="80" t="s">
        <v>858</v>
      </c>
      <c r="L86" s="82"/>
    </row>
    <row r="87" spans="1:12" ht="48" customHeight="1">
      <c r="A87" s="4" t="s">
        <v>498</v>
      </c>
      <c r="B87" s="5" t="s">
        <v>192</v>
      </c>
      <c r="C87" s="5" t="s">
        <v>18</v>
      </c>
      <c r="D87" s="6" t="s">
        <v>155</v>
      </c>
      <c r="E87" s="2">
        <v>1961</v>
      </c>
      <c r="F87" s="2"/>
      <c r="G87" s="7">
        <v>47803.75</v>
      </c>
      <c r="H87" s="22">
        <f t="shared" si="2"/>
        <v>24560.75</v>
      </c>
      <c r="I87" s="22">
        <v>23243</v>
      </c>
      <c r="J87" s="81">
        <v>33787</v>
      </c>
      <c r="K87" s="80" t="s">
        <v>858</v>
      </c>
      <c r="L87" s="82"/>
    </row>
    <row r="88" spans="1:12" ht="48" customHeight="1">
      <c r="A88" s="4" t="s">
        <v>499</v>
      </c>
      <c r="B88" s="5" t="s">
        <v>193</v>
      </c>
      <c r="C88" s="5" t="s">
        <v>18</v>
      </c>
      <c r="D88" s="6" t="s">
        <v>151</v>
      </c>
      <c r="E88" s="2">
        <v>1972</v>
      </c>
      <c r="F88" s="2">
        <v>100</v>
      </c>
      <c r="G88" s="7">
        <v>47803.75</v>
      </c>
      <c r="H88" s="22">
        <f t="shared" si="2"/>
        <v>47803.75</v>
      </c>
      <c r="I88" s="22">
        <v>0</v>
      </c>
      <c r="J88" s="81">
        <v>33787</v>
      </c>
      <c r="K88" s="80" t="s">
        <v>858</v>
      </c>
      <c r="L88" s="82"/>
    </row>
    <row r="89" spans="1:12" ht="48" customHeight="1">
      <c r="A89" s="4" t="s">
        <v>500</v>
      </c>
      <c r="B89" s="5" t="s">
        <v>194</v>
      </c>
      <c r="C89" s="5" t="s">
        <v>18</v>
      </c>
      <c r="D89" s="6" t="s">
        <v>155</v>
      </c>
      <c r="E89" s="2">
        <v>1988</v>
      </c>
      <c r="F89" s="2">
        <v>68.5</v>
      </c>
      <c r="G89" s="7">
        <v>47848.639999999999</v>
      </c>
      <c r="H89" s="22">
        <f t="shared" si="2"/>
        <v>22796.75</v>
      </c>
      <c r="I89" s="22">
        <v>25051.89</v>
      </c>
      <c r="J89" s="81">
        <v>33787</v>
      </c>
      <c r="K89" s="80" t="s">
        <v>858</v>
      </c>
      <c r="L89" s="82"/>
    </row>
    <row r="90" spans="1:12" ht="48" customHeight="1">
      <c r="A90" s="4" t="s">
        <v>501</v>
      </c>
      <c r="B90" s="5" t="s">
        <v>195</v>
      </c>
      <c r="C90" s="5" t="s">
        <v>18</v>
      </c>
      <c r="D90" s="6" t="s">
        <v>169</v>
      </c>
      <c r="E90" s="2">
        <v>1972</v>
      </c>
      <c r="F90" s="2"/>
      <c r="G90" s="7">
        <v>521479</v>
      </c>
      <c r="H90" s="22">
        <f t="shared" ref="H90:H109" si="3">G90-I90</f>
        <v>248500.81</v>
      </c>
      <c r="I90" s="22">
        <v>272978.19</v>
      </c>
      <c r="J90" s="81">
        <v>33787</v>
      </c>
      <c r="K90" s="80" t="s">
        <v>858</v>
      </c>
      <c r="L90" s="82"/>
    </row>
    <row r="91" spans="1:12" ht="48" customHeight="1">
      <c r="A91" s="4" t="s">
        <v>502</v>
      </c>
      <c r="B91" s="5" t="s">
        <v>196</v>
      </c>
      <c r="C91" s="5" t="s">
        <v>18</v>
      </c>
      <c r="D91" s="6" t="s">
        <v>177</v>
      </c>
      <c r="E91" s="2">
        <v>1987</v>
      </c>
      <c r="F91" s="2"/>
      <c r="G91" s="7">
        <v>602194.88</v>
      </c>
      <c r="H91" s="22">
        <f t="shared" si="3"/>
        <v>286963.16000000003</v>
      </c>
      <c r="I91" s="22">
        <v>315231.71999999997</v>
      </c>
      <c r="J91" s="81">
        <v>33787</v>
      </c>
      <c r="K91" s="80" t="s">
        <v>858</v>
      </c>
      <c r="L91" s="82"/>
    </row>
    <row r="92" spans="1:12" ht="48" customHeight="1">
      <c r="A92" s="4" t="s">
        <v>503</v>
      </c>
      <c r="B92" s="5" t="s">
        <v>197</v>
      </c>
      <c r="C92" s="5" t="s">
        <v>18</v>
      </c>
      <c r="D92" s="6" t="s">
        <v>155</v>
      </c>
      <c r="E92" s="2">
        <v>1972</v>
      </c>
      <c r="F92" s="2">
        <v>7175</v>
      </c>
      <c r="G92" s="7">
        <v>28432882.34</v>
      </c>
      <c r="H92" s="22">
        <f t="shared" si="3"/>
        <v>1876427.7300000004</v>
      </c>
      <c r="I92" s="22">
        <v>26556454.609999999</v>
      </c>
      <c r="J92" s="81">
        <v>33787</v>
      </c>
      <c r="K92" s="80" t="s">
        <v>858</v>
      </c>
      <c r="L92" s="82"/>
    </row>
    <row r="93" spans="1:12" ht="48" customHeight="1">
      <c r="A93" s="4" t="s">
        <v>504</v>
      </c>
      <c r="B93" s="5" t="s">
        <v>198</v>
      </c>
      <c r="C93" s="5" t="s">
        <v>18</v>
      </c>
      <c r="D93" s="6" t="s">
        <v>199</v>
      </c>
      <c r="E93" s="2">
        <v>1999</v>
      </c>
      <c r="F93" s="2"/>
      <c r="G93" s="7">
        <v>321020</v>
      </c>
      <c r="H93" s="22">
        <f t="shared" si="3"/>
        <v>74904.359999999986</v>
      </c>
      <c r="I93" s="22">
        <v>246115.64</v>
      </c>
      <c r="J93" s="81">
        <v>33787</v>
      </c>
      <c r="K93" s="80" t="s">
        <v>858</v>
      </c>
      <c r="L93" s="82"/>
    </row>
    <row r="94" spans="1:12" ht="48" customHeight="1">
      <c r="A94" s="4" t="s">
        <v>505</v>
      </c>
      <c r="B94" s="5" t="s">
        <v>200</v>
      </c>
      <c r="C94" s="5" t="s">
        <v>18</v>
      </c>
      <c r="D94" s="6" t="s">
        <v>79</v>
      </c>
      <c r="E94" s="2"/>
      <c r="F94" s="2">
        <v>500</v>
      </c>
      <c r="G94" s="7">
        <v>6020</v>
      </c>
      <c r="H94" s="22">
        <f t="shared" si="3"/>
        <v>3831.58</v>
      </c>
      <c r="I94" s="22">
        <v>2188.42</v>
      </c>
      <c r="J94" s="81">
        <v>33787</v>
      </c>
      <c r="K94" s="80" t="s">
        <v>858</v>
      </c>
      <c r="L94" s="82"/>
    </row>
    <row r="95" spans="1:12" ht="48" customHeight="1">
      <c r="A95" s="4" t="s">
        <v>506</v>
      </c>
      <c r="B95" s="5" t="s">
        <v>201</v>
      </c>
      <c r="C95" s="5" t="s">
        <v>18</v>
      </c>
      <c r="D95" s="6" t="s">
        <v>202</v>
      </c>
      <c r="E95" s="2">
        <v>1987</v>
      </c>
      <c r="F95" s="2">
        <v>47</v>
      </c>
      <c r="G95" s="7">
        <v>541431.24</v>
      </c>
      <c r="H95" s="22">
        <f t="shared" si="3"/>
        <v>213896.19</v>
      </c>
      <c r="I95" s="22">
        <v>327535.05</v>
      </c>
      <c r="J95" s="81">
        <v>33787</v>
      </c>
      <c r="K95" s="80" t="s">
        <v>858</v>
      </c>
      <c r="L95" s="82"/>
    </row>
    <row r="96" spans="1:12" ht="48" customHeight="1">
      <c r="A96" s="4" t="s">
        <v>507</v>
      </c>
      <c r="B96" s="5" t="s">
        <v>203</v>
      </c>
      <c r="C96" s="5" t="s">
        <v>18</v>
      </c>
      <c r="D96" s="6" t="s">
        <v>155</v>
      </c>
      <c r="E96" s="2">
        <v>1990</v>
      </c>
      <c r="F96" s="2">
        <v>550</v>
      </c>
      <c r="G96" s="7">
        <v>112458.08</v>
      </c>
      <c r="H96" s="22">
        <f t="shared" si="3"/>
        <v>53589.58</v>
      </c>
      <c r="I96" s="22">
        <v>58868.5</v>
      </c>
      <c r="J96" s="81">
        <v>33787</v>
      </c>
      <c r="K96" s="80" t="s">
        <v>858</v>
      </c>
      <c r="L96" s="82"/>
    </row>
    <row r="97" spans="1:12" ht="48" customHeight="1">
      <c r="A97" s="4" t="s">
        <v>508</v>
      </c>
      <c r="B97" s="5" t="s">
        <v>204</v>
      </c>
      <c r="C97" s="5" t="s">
        <v>18</v>
      </c>
      <c r="D97" s="6" t="s">
        <v>177</v>
      </c>
      <c r="E97" s="2">
        <v>1987</v>
      </c>
      <c r="F97" s="2">
        <v>100</v>
      </c>
      <c r="G97" s="7">
        <v>325.52</v>
      </c>
      <c r="H97" s="22">
        <f t="shared" si="3"/>
        <v>150.66999999999999</v>
      </c>
      <c r="I97" s="22">
        <v>174.85</v>
      </c>
      <c r="J97" s="81">
        <v>33787</v>
      </c>
      <c r="K97" s="80" t="s">
        <v>858</v>
      </c>
      <c r="L97" s="82"/>
    </row>
    <row r="98" spans="1:12" ht="48" customHeight="1">
      <c r="A98" s="4" t="s">
        <v>509</v>
      </c>
      <c r="B98" s="5" t="s">
        <v>205</v>
      </c>
      <c r="C98" s="5" t="s">
        <v>18</v>
      </c>
      <c r="D98" s="6" t="s">
        <v>206</v>
      </c>
      <c r="E98" s="2">
        <v>1949</v>
      </c>
      <c r="F98" s="2"/>
      <c r="G98" s="7">
        <v>860000</v>
      </c>
      <c r="H98" s="22">
        <f t="shared" si="3"/>
        <v>860000</v>
      </c>
      <c r="I98" s="22">
        <v>0</v>
      </c>
      <c r="J98" s="81">
        <v>33787</v>
      </c>
      <c r="K98" s="80" t="s">
        <v>858</v>
      </c>
      <c r="L98" s="82"/>
    </row>
    <row r="99" spans="1:12" ht="48" customHeight="1">
      <c r="A99" s="4" t="s">
        <v>510</v>
      </c>
      <c r="B99" s="5" t="s">
        <v>207</v>
      </c>
      <c r="C99" s="5" t="s">
        <v>18</v>
      </c>
      <c r="D99" s="6" t="s">
        <v>208</v>
      </c>
      <c r="E99" s="2">
        <v>1968</v>
      </c>
      <c r="F99" s="2"/>
      <c r="G99" s="7">
        <v>431000</v>
      </c>
      <c r="H99" s="22">
        <f t="shared" si="3"/>
        <v>431000</v>
      </c>
      <c r="I99" s="22">
        <v>0</v>
      </c>
      <c r="J99" s="81">
        <v>33787</v>
      </c>
      <c r="K99" s="80" t="s">
        <v>858</v>
      </c>
      <c r="L99" s="82"/>
    </row>
    <row r="100" spans="1:12" ht="48" customHeight="1">
      <c r="A100" s="4" t="s">
        <v>511</v>
      </c>
      <c r="B100" s="6" t="s">
        <v>209</v>
      </c>
      <c r="C100" s="5" t="s">
        <v>18</v>
      </c>
      <c r="D100" s="6" t="s">
        <v>206</v>
      </c>
      <c r="E100" s="2">
        <v>1939</v>
      </c>
      <c r="F100" s="2"/>
      <c r="G100" s="7">
        <v>1756000</v>
      </c>
      <c r="H100" s="22">
        <f t="shared" si="3"/>
        <v>1756000</v>
      </c>
      <c r="I100" s="22">
        <v>0</v>
      </c>
      <c r="J100" s="81">
        <v>33787</v>
      </c>
      <c r="K100" s="80" t="s">
        <v>858</v>
      </c>
      <c r="L100" s="82"/>
    </row>
    <row r="101" spans="1:12" ht="48" customHeight="1">
      <c r="A101" s="4" t="s">
        <v>512</v>
      </c>
      <c r="B101" s="5" t="s">
        <v>210</v>
      </c>
      <c r="C101" s="5" t="s">
        <v>18</v>
      </c>
      <c r="D101" s="6" t="s">
        <v>211</v>
      </c>
      <c r="E101" s="2">
        <v>1978</v>
      </c>
      <c r="F101" s="2"/>
      <c r="G101" s="7">
        <v>880000</v>
      </c>
      <c r="H101" s="22">
        <f t="shared" si="3"/>
        <v>880000</v>
      </c>
      <c r="I101" s="22">
        <v>0</v>
      </c>
      <c r="J101" s="81">
        <v>33787</v>
      </c>
      <c r="K101" s="80" t="s">
        <v>858</v>
      </c>
      <c r="L101" s="82"/>
    </row>
    <row r="102" spans="1:12" ht="48" customHeight="1">
      <c r="A102" s="4" t="s">
        <v>513</v>
      </c>
      <c r="B102" s="5" t="s">
        <v>212</v>
      </c>
      <c r="C102" s="5" t="s">
        <v>18</v>
      </c>
      <c r="D102" s="6" t="s">
        <v>213</v>
      </c>
      <c r="E102" s="2">
        <v>1945</v>
      </c>
      <c r="F102" s="2"/>
      <c r="G102" s="7">
        <v>22704</v>
      </c>
      <c r="H102" s="22">
        <f t="shared" si="3"/>
        <v>22704</v>
      </c>
      <c r="I102" s="22">
        <v>0</v>
      </c>
      <c r="J102" s="81">
        <v>33787</v>
      </c>
      <c r="K102" s="80" t="s">
        <v>858</v>
      </c>
      <c r="L102" s="82"/>
    </row>
    <row r="103" spans="1:12" ht="48" customHeight="1">
      <c r="A103" s="4" t="s">
        <v>514</v>
      </c>
      <c r="B103" s="5" t="s">
        <v>212</v>
      </c>
      <c r="C103" s="5" t="s">
        <v>18</v>
      </c>
      <c r="D103" s="6" t="s">
        <v>213</v>
      </c>
      <c r="E103" s="2">
        <v>1945</v>
      </c>
      <c r="F103" s="2"/>
      <c r="G103" s="7">
        <v>18956</v>
      </c>
      <c r="H103" s="22">
        <f t="shared" si="3"/>
        <v>18956</v>
      </c>
      <c r="I103" s="22">
        <v>0</v>
      </c>
      <c r="J103" s="81">
        <v>33787</v>
      </c>
      <c r="K103" s="80" t="s">
        <v>858</v>
      </c>
      <c r="L103" s="82"/>
    </row>
    <row r="104" spans="1:12" ht="48" customHeight="1">
      <c r="A104" s="4" t="s">
        <v>515</v>
      </c>
      <c r="B104" s="6" t="s">
        <v>214</v>
      </c>
      <c r="C104" s="5" t="s">
        <v>18</v>
      </c>
      <c r="D104" s="6" t="s">
        <v>79</v>
      </c>
      <c r="E104" s="2">
        <v>1976</v>
      </c>
      <c r="F104" s="2">
        <v>52.3</v>
      </c>
      <c r="G104" s="7">
        <v>0</v>
      </c>
      <c r="H104" s="22">
        <f t="shared" si="3"/>
        <v>0</v>
      </c>
      <c r="I104" s="22">
        <v>0</v>
      </c>
      <c r="J104" s="81">
        <v>33787</v>
      </c>
      <c r="K104" s="80" t="s">
        <v>858</v>
      </c>
      <c r="L104" s="82"/>
    </row>
    <row r="105" spans="1:12" ht="48" customHeight="1">
      <c r="A105" s="4" t="s">
        <v>516</v>
      </c>
      <c r="B105" s="6" t="s">
        <v>215</v>
      </c>
      <c r="C105" s="5" t="s">
        <v>18</v>
      </c>
      <c r="D105" s="6" t="s">
        <v>155</v>
      </c>
      <c r="E105" s="2">
        <v>1986</v>
      </c>
      <c r="F105" s="2">
        <v>81.5</v>
      </c>
      <c r="G105" s="7">
        <v>0</v>
      </c>
      <c r="H105" s="22">
        <f t="shared" si="3"/>
        <v>0</v>
      </c>
      <c r="I105" s="22">
        <v>0</v>
      </c>
      <c r="J105" s="81">
        <v>33787</v>
      </c>
      <c r="K105" s="80" t="s">
        <v>858</v>
      </c>
      <c r="L105" s="82"/>
    </row>
    <row r="106" spans="1:12" ht="48" customHeight="1">
      <c r="A106" s="4" t="s">
        <v>517</v>
      </c>
      <c r="B106" s="15" t="s">
        <v>136</v>
      </c>
      <c r="C106" s="11" t="s">
        <v>14</v>
      </c>
      <c r="D106" s="12" t="s">
        <v>132</v>
      </c>
      <c r="E106" s="8">
        <v>1989</v>
      </c>
      <c r="F106" s="8"/>
      <c r="G106" s="13">
        <v>2379633.2999999998</v>
      </c>
      <c r="H106" s="22">
        <f t="shared" si="3"/>
        <v>2379633.2999999998</v>
      </c>
      <c r="I106" s="13">
        <v>0</v>
      </c>
      <c r="J106" s="81">
        <v>33787</v>
      </c>
      <c r="K106" s="80" t="s">
        <v>858</v>
      </c>
      <c r="L106" s="82"/>
    </row>
    <row r="107" spans="1:12" ht="48" customHeight="1">
      <c r="A107" s="4" t="s">
        <v>518</v>
      </c>
      <c r="B107" s="11" t="s">
        <v>17</v>
      </c>
      <c r="C107" s="11" t="s">
        <v>18</v>
      </c>
      <c r="D107" s="12" t="s">
        <v>19</v>
      </c>
      <c r="E107" s="8">
        <v>2009</v>
      </c>
      <c r="F107" s="8"/>
      <c r="G107" s="13">
        <v>74745</v>
      </c>
      <c r="H107" s="22">
        <f t="shared" si="3"/>
        <v>0</v>
      </c>
      <c r="I107" s="13">
        <v>74745</v>
      </c>
      <c r="J107" s="81">
        <v>33787</v>
      </c>
      <c r="K107" s="80" t="s">
        <v>858</v>
      </c>
      <c r="L107" s="82"/>
    </row>
    <row r="108" spans="1:12" ht="48" customHeight="1">
      <c r="A108" s="4" t="s">
        <v>542</v>
      </c>
      <c r="B108" s="11" t="s">
        <v>543</v>
      </c>
      <c r="C108" s="11" t="s">
        <v>18</v>
      </c>
      <c r="D108" s="6" t="s">
        <v>544</v>
      </c>
      <c r="E108" s="8">
        <v>2012</v>
      </c>
      <c r="F108" s="8"/>
      <c r="G108" s="13">
        <v>70000</v>
      </c>
      <c r="H108" s="22">
        <f t="shared" si="3"/>
        <v>0</v>
      </c>
      <c r="I108" s="13">
        <v>70000</v>
      </c>
      <c r="J108" s="81">
        <v>33787</v>
      </c>
      <c r="K108" s="80" t="s">
        <v>858</v>
      </c>
      <c r="L108" s="82"/>
    </row>
    <row r="109" spans="1:12" ht="48" customHeight="1">
      <c r="A109" s="4" t="s">
        <v>841</v>
      </c>
      <c r="B109" s="11" t="s">
        <v>92</v>
      </c>
      <c r="C109" s="11" t="s">
        <v>93</v>
      </c>
      <c r="D109" s="6" t="s">
        <v>842</v>
      </c>
      <c r="E109" s="8"/>
      <c r="F109" s="8">
        <v>30.1</v>
      </c>
      <c r="G109" s="13">
        <v>82262</v>
      </c>
      <c r="H109" s="22">
        <f t="shared" si="3"/>
        <v>17237</v>
      </c>
      <c r="I109" s="13">
        <v>65025</v>
      </c>
      <c r="J109" s="81">
        <v>33787</v>
      </c>
      <c r="K109" s="80" t="s">
        <v>858</v>
      </c>
      <c r="L109" s="82"/>
    </row>
    <row r="110" spans="1:12" ht="24" customHeight="1">
      <c r="A110" s="4"/>
      <c r="B110" s="36" t="s">
        <v>476</v>
      </c>
      <c r="C110" s="36">
        <f>111-26</f>
        <v>85</v>
      </c>
      <c r="D110" s="36" t="s">
        <v>474</v>
      </c>
      <c r="E110" s="37"/>
      <c r="F110" s="95">
        <f>SUM(F25:F37)+F63+F64+F84+F85+F92+F109</f>
        <v>15510.1</v>
      </c>
      <c r="G110" s="38">
        <f>SUM(G25:G109)</f>
        <v>62764032.910000004</v>
      </c>
      <c r="H110" s="38">
        <f>SUM(H25:H109)</f>
        <v>25516345.43</v>
      </c>
      <c r="I110" s="38">
        <f>SUM(I25:I109)</f>
        <v>37247687.480000004</v>
      </c>
      <c r="J110" s="81"/>
      <c r="K110" s="80"/>
      <c r="L110" s="82"/>
    </row>
    <row r="112" spans="1:12">
      <c r="A112" s="106" t="s">
        <v>880</v>
      </c>
      <c r="B112" s="106"/>
      <c r="C112" s="106"/>
      <c r="D112" s="106"/>
      <c r="E112" s="103"/>
      <c r="F112" s="103"/>
      <c r="G112" s="103"/>
      <c r="H112" s="103"/>
      <c r="I112" s="103"/>
    </row>
    <row r="113" spans="1:12" ht="45">
      <c r="A113" s="8" t="s">
        <v>1</v>
      </c>
      <c r="B113" s="8" t="s">
        <v>2</v>
      </c>
      <c r="C113" s="8" t="s">
        <v>3</v>
      </c>
      <c r="D113" s="9" t="s">
        <v>4</v>
      </c>
      <c r="E113" s="8" t="s">
        <v>5</v>
      </c>
      <c r="F113" s="2" t="s">
        <v>6</v>
      </c>
      <c r="G113" s="8" t="s">
        <v>7</v>
      </c>
      <c r="H113" s="2" t="s">
        <v>844</v>
      </c>
      <c r="I113" s="8" t="s">
        <v>8</v>
      </c>
      <c r="J113" s="3" t="s">
        <v>857</v>
      </c>
      <c r="K113" s="3" t="s">
        <v>856</v>
      </c>
      <c r="L113" s="3" t="s">
        <v>885</v>
      </c>
    </row>
    <row r="114" spans="1:12" ht="45.75" customHeight="1">
      <c r="A114" s="10" t="s">
        <v>287</v>
      </c>
      <c r="B114" s="11" t="s">
        <v>288</v>
      </c>
      <c r="C114" s="11" t="s">
        <v>18</v>
      </c>
      <c r="D114" s="12" t="s">
        <v>135</v>
      </c>
      <c r="E114" s="8">
        <v>1989</v>
      </c>
      <c r="F114" s="8">
        <f>588-72.8</f>
        <v>515.20000000000005</v>
      </c>
      <c r="G114" s="13">
        <f>718262-84727</f>
        <v>633535</v>
      </c>
      <c r="H114" s="22">
        <f>G114-I114</f>
        <v>379481</v>
      </c>
      <c r="I114" s="13">
        <v>254054</v>
      </c>
      <c r="J114" s="81">
        <v>33787</v>
      </c>
      <c r="K114" s="80" t="s">
        <v>858</v>
      </c>
      <c r="L114" s="78"/>
    </row>
    <row r="115" spans="1:12" ht="45.75" customHeight="1">
      <c r="A115" s="10" t="s">
        <v>289</v>
      </c>
      <c r="B115" s="11" t="s">
        <v>288</v>
      </c>
      <c r="C115" s="11" t="s">
        <v>18</v>
      </c>
      <c r="D115" s="12" t="s">
        <v>50</v>
      </c>
      <c r="E115" s="8">
        <v>1967</v>
      </c>
      <c r="F115" s="8">
        <v>64</v>
      </c>
      <c r="G115" s="13">
        <v>62473</v>
      </c>
      <c r="H115" s="22">
        <f t="shared" ref="H115:H116" si="4">G115-I115</f>
        <v>62473</v>
      </c>
      <c r="I115" s="13">
        <v>0</v>
      </c>
      <c r="J115" s="81">
        <v>33787</v>
      </c>
      <c r="K115" s="80" t="s">
        <v>858</v>
      </c>
      <c r="L115" s="82"/>
    </row>
    <row r="116" spans="1:12" s="32" customFormat="1" ht="45.75" customHeight="1">
      <c r="A116" s="10" t="s">
        <v>290</v>
      </c>
      <c r="B116" s="11" t="s">
        <v>291</v>
      </c>
      <c r="C116" s="11" t="s">
        <v>18</v>
      </c>
      <c r="D116" s="12" t="s">
        <v>139</v>
      </c>
      <c r="E116" s="8">
        <v>1978</v>
      </c>
      <c r="F116" s="8">
        <v>19.5</v>
      </c>
      <c r="G116" s="13">
        <v>20063.939999999999</v>
      </c>
      <c r="H116" s="22">
        <f t="shared" si="4"/>
        <v>11675.939999999999</v>
      </c>
      <c r="I116" s="13">
        <v>8388</v>
      </c>
      <c r="J116" s="81">
        <v>33787</v>
      </c>
      <c r="K116" s="80" t="s">
        <v>858</v>
      </c>
      <c r="L116" s="83"/>
    </row>
    <row r="117" spans="1:12" ht="27" customHeight="1">
      <c r="A117" s="35"/>
      <c r="B117" s="36" t="s">
        <v>476</v>
      </c>
      <c r="C117" s="36">
        <f>112-109</f>
        <v>3</v>
      </c>
      <c r="D117" s="36" t="s">
        <v>474</v>
      </c>
      <c r="E117" s="37"/>
      <c r="F117" s="37"/>
      <c r="G117" s="38">
        <f>SUM(G114:G116)</f>
        <v>716071.94</v>
      </c>
      <c r="H117" s="38">
        <f>SUM(H114:H116)</f>
        <v>453629.94</v>
      </c>
      <c r="I117" s="38">
        <f>SUM(I114:I116)</f>
        <v>262442</v>
      </c>
      <c r="J117" s="81"/>
      <c r="K117" s="80"/>
      <c r="L117" s="82"/>
    </row>
    <row r="119" spans="1:12">
      <c r="A119" s="101" t="s">
        <v>881</v>
      </c>
      <c r="B119" s="101"/>
      <c r="C119" s="101"/>
      <c r="D119" s="101"/>
      <c r="E119" s="103"/>
      <c r="F119" s="103"/>
      <c r="G119" s="103"/>
      <c r="H119" s="103"/>
      <c r="I119" s="103"/>
    </row>
    <row r="120" spans="1:12" ht="45">
      <c r="A120" s="2" t="s">
        <v>1</v>
      </c>
      <c r="B120" s="2" t="s">
        <v>2</v>
      </c>
      <c r="C120" s="2" t="s">
        <v>3</v>
      </c>
      <c r="D120" s="3" t="s">
        <v>4</v>
      </c>
      <c r="E120" s="2" t="s">
        <v>5</v>
      </c>
      <c r="F120" s="2" t="s">
        <v>6</v>
      </c>
      <c r="G120" s="2" t="s">
        <v>7</v>
      </c>
      <c r="H120" s="2" t="s">
        <v>844</v>
      </c>
      <c r="I120" s="2" t="s">
        <v>8</v>
      </c>
      <c r="J120" s="3" t="s">
        <v>857</v>
      </c>
      <c r="K120" s="3" t="s">
        <v>856</v>
      </c>
      <c r="L120" s="3" t="s">
        <v>885</v>
      </c>
    </row>
    <row r="121" spans="1:12" ht="48.75" customHeight="1">
      <c r="A121" s="4" t="s">
        <v>292</v>
      </c>
      <c r="B121" s="5" t="s">
        <v>293</v>
      </c>
      <c r="C121" s="5" t="s">
        <v>18</v>
      </c>
      <c r="D121" s="6" t="s">
        <v>294</v>
      </c>
      <c r="E121" s="2">
        <v>1950</v>
      </c>
      <c r="F121" s="2">
        <v>1787.62</v>
      </c>
      <c r="G121" s="7">
        <v>189087.62</v>
      </c>
      <c r="H121" s="22">
        <f>G121-I121</f>
        <v>47131.899999999994</v>
      </c>
      <c r="I121" s="7">
        <v>141955.72</v>
      </c>
      <c r="J121" s="81">
        <v>33787</v>
      </c>
      <c r="K121" s="80" t="s">
        <v>858</v>
      </c>
      <c r="L121" s="80" t="s">
        <v>895</v>
      </c>
    </row>
    <row r="122" spans="1:12" ht="48.75" customHeight="1">
      <c r="A122" s="4" t="s">
        <v>295</v>
      </c>
      <c r="B122" s="5" t="s">
        <v>33</v>
      </c>
      <c r="C122" s="5" t="s">
        <v>14</v>
      </c>
      <c r="D122" s="6" t="s">
        <v>294</v>
      </c>
      <c r="E122" s="2">
        <v>2001</v>
      </c>
      <c r="F122" s="2">
        <v>41.25</v>
      </c>
      <c r="G122" s="7">
        <v>6899.8</v>
      </c>
      <c r="H122" s="22">
        <f t="shared" ref="H122:H124" si="5">G122-I122</f>
        <v>3033.0600000000004</v>
      </c>
      <c r="I122" s="7">
        <v>3866.74</v>
      </c>
      <c r="J122" s="81">
        <v>33787</v>
      </c>
      <c r="K122" s="80" t="s">
        <v>858</v>
      </c>
      <c r="L122" s="82"/>
    </row>
    <row r="123" spans="1:12" ht="48.75" customHeight="1">
      <c r="A123" s="4" t="s">
        <v>296</v>
      </c>
      <c r="B123" s="5" t="s">
        <v>297</v>
      </c>
      <c r="C123" s="5" t="s">
        <v>14</v>
      </c>
      <c r="D123" s="6" t="s">
        <v>294</v>
      </c>
      <c r="E123" s="2">
        <v>2001</v>
      </c>
      <c r="F123" s="2">
        <v>78</v>
      </c>
      <c r="G123" s="7">
        <v>20285</v>
      </c>
      <c r="H123" s="22">
        <f t="shared" si="5"/>
        <v>8874.68</v>
      </c>
      <c r="I123" s="7">
        <v>11410.32</v>
      </c>
      <c r="J123" s="81">
        <v>33787</v>
      </c>
      <c r="K123" s="80" t="s">
        <v>858</v>
      </c>
      <c r="L123" s="82"/>
    </row>
    <row r="124" spans="1:12" s="32" customFormat="1" ht="86.25" customHeight="1">
      <c r="A124" s="10" t="s">
        <v>540</v>
      </c>
      <c r="B124" s="11" t="s">
        <v>92</v>
      </c>
      <c r="C124" s="11" t="s">
        <v>93</v>
      </c>
      <c r="D124" s="12" t="s">
        <v>541</v>
      </c>
      <c r="E124" s="8"/>
      <c r="F124" s="8">
        <v>36.4</v>
      </c>
      <c r="G124" s="13">
        <v>0</v>
      </c>
      <c r="H124" s="22">
        <f t="shared" si="5"/>
        <v>0</v>
      </c>
      <c r="I124" s="13">
        <v>0</v>
      </c>
      <c r="J124" s="81">
        <v>40889</v>
      </c>
      <c r="K124" s="80" t="s">
        <v>862</v>
      </c>
      <c r="L124" s="83"/>
    </row>
    <row r="125" spans="1:12" ht="19.5" customHeight="1">
      <c r="A125" s="35"/>
      <c r="B125" s="36" t="s">
        <v>476</v>
      </c>
      <c r="C125" s="36">
        <f>124-120</f>
        <v>4</v>
      </c>
      <c r="D125" s="36" t="s">
        <v>474</v>
      </c>
      <c r="E125" s="37"/>
      <c r="F125" s="37">
        <f>SUM(F121:F124)</f>
        <v>1943.27</v>
      </c>
      <c r="G125" s="38">
        <f>SUM(G121:G124)</f>
        <v>216272.41999999998</v>
      </c>
      <c r="H125" s="38">
        <f>SUM(H121:H124)</f>
        <v>59039.639999999992</v>
      </c>
      <c r="I125" s="38">
        <f>SUM(I121:I124)</f>
        <v>157232.78</v>
      </c>
      <c r="J125" s="81"/>
      <c r="K125" s="80"/>
      <c r="L125" s="82"/>
    </row>
    <row r="127" spans="1:12" ht="12.75" customHeight="1">
      <c r="A127" s="104" t="s">
        <v>882</v>
      </c>
      <c r="B127" s="104"/>
      <c r="C127" s="104"/>
      <c r="D127" s="104"/>
      <c r="E127" s="104"/>
      <c r="F127" s="104"/>
      <c r="G127" s="104"/>
      <c r="H127" s="104"/>
      <c r="I127" s="104"/>
    </row>
    <row r="128" spans="1:12" ht="45">
      <c r="A128" s="8" t="s">
        <v>1</v>
      </c>
      <c r="B128" s="8" t="s">
        <v>2</v>
      </c>
      <c r="C128" s="8" t="s">
        <v>3</v>
      </c>
      <c r="D128" s="9" t="s">
        <v>4</v>
      </c>
      <c r="E128" s="8" t="s">
        <v>5</v>
      </c>
      <c r="F128" s="2" t="s">
        <v>6</v>
      </c>
      <c r="G128" s="8" t="s">
        <v>7</v>
      </c>
      <c r="H128" s="2" t="s">
        <v>844</v>
      </c>
      <c r="I128" s="8" t="s">
        <v>8</v>
      </c>
      <c r="J128" s="3" t="s">
        <v>857</v>
      </c>
      <c r="K128" s="3" t="s">
        <v>856</v>
      </c>
      <c r="L128" s="3" t="s">
        <v>885</v>
      </c>
    </row>
    <row r="129" spans="1:12" ht="47.25" customHeight="1">
      <c r="A129" s="10" t="s">
        <v>307</v>
      </c>
      <c r="B129" s="11" t="s">
        <v>308</v>
      </c>
      <c r="C129" s="11" t="s">
        <v>11</v>
      </c>
      <c r="D129" s="12" t="s">
        <v>309</v>
      </c>
      <c r="E129" s="8">
        <v>1958</v>
      </c>
      <c r="F129" s="8">
        <v>87.6</v>
      </c>
      <c r="G129" s="13">
        <v>40807</v>
      </c>
      <c r="H129" s="22">
        <f>G129-I129</f>
        <v>40807</v>
      </c>
      <c r="I129" s="20">
        <v>0</v>
      </c>
      <c r="J129" s="81">
        <v>33787</v>
      </c>
      <c r="K129" s="80" t="s">
        <v>858</v>
      </c>
      <c r="L129" s="78"/>
    </row>
    <row r="130" spans="1:12" ht="47.25" customHeight="1">
      <c r="A130" s="10" t="s">
        <v>310</v>
      </c>
      <c r="B130" s="11" t="s">
        <v>311</v>
      </c>
      <c r="C130" s="11" t="s">
        <v>18</v>
      </c>
      <c r="D130" s="12" t="s">
        <v>309</v>
      </c>
      <c r="E130" s="8">
        <v>1967</v>
      </c>
      <c r="F130" s="8">
        <v>687.9</v>
      </c>
      <c r="G130" s="13">
        <v>1736744</v>
      </c>
      <c r="H130" s="22">
        <f t="shared" ref="H130:H145" si="6">G130-I130</f>
        <v>1736744</v>
      </c>
      <c r="I130" s="20">
        <v>0</v>
      </c>
      <c r="J130" s="81">
        <v>33787</v>
      </c>
      <c r="K130" s="80" t="s">
        <v>858</v>
      </c>
      <c r="L130" s="82"/>
    </row>
    <row r="131" spans="1:12" ht="47.25" customHeight="1">
      <c r="A131" s="10" t="s">
        <v>312</v>
      </c>
      <c r="B131" s="11" t="s">
        <v>313</v>
      </c>
      <c r="C131" s="11" t="s">
        <v>18</v>
      </c>
      <c r="D131" s="12" t="s">
        <v>309</v>
      </c>
      <c r="E131" s="8">
        <v>1991</v>
      </c>
      <c r="F131" s="8">
        <v>176.8</v>
      </c>
      <c r="G131" s="13">
        <v>320789</v>
      </c>
      <c r="H131" s="22">
        <f t="shared" si="6"/>
        <v>181989.4</v>
      </c>
      <c r="I131" s="20">
        <v>138799.6</v>
      </c>
      <c r="J131" s="81">
        <v>33787</v>
      </c>
      <c r="K131" s="80" t="s">
        <v>858</v>
      </c>
      <c r="L131" s="82"/>
    </row>
    <row r="132" spans="1:12" ht="47.25" customHeight="1">
      <c r="A132" s="10" t="s">
        <v>314</v>
      </c>
      <c r="B132" s="11" t="s">
        <v>315</v>
      </c>
      <c r="C132" s="11" t="s">
        <v>14</v>
      </c>
      <c r="D132" s="12" t="s">
        <v>309</v>
      </c>
      <c r="E132" s="8">
        <v>1977</v>
      </c>
      <c r="F132" s="8">
        <v>23.8</v>
      </c>
      <c r="G132" s="13">
        <v>44593</v>
      </c>
      <c r="H132" s="22">
        <f t="shared" si="6"/>
        <v>44593</v>
      </c>
      <c r="I132" s="20">
        <v>0</v>
      </c>
      <c r="J132" s="81">
        <v>33787</v>
      </c>
      <c r="K132" s="80" t="s">
        <v>858</v>
      </c>
      <c r="L132" s="82"/>
    </row>
    <row r="133" spans="1:12" ht="47.25" customHeight="1">
      <c r="A133" s="10" t="s">
        <v>316</v>
      </c>
      <c r="B133" s="11" t="s">
        <v>317</v>
      </c>
      <c r="C133" s="11" t="s">
        <v>18</v>
      </c>
      <c r="D133" s="12" t="s">
        <v>309</v>
      </c>
      <c r="E133" s="8">
        <v>1975</v>
      </c>
      <c r="F133" s="8">
        <v>201.1</v>
      </c>
      <c r="G133" s="13">
        <v>157966</v>
      </c>
      <c r="H133" s="22">
        <f t="shared" si="6"/>
        <v>157966</v>
      </c>
      <c r="I133" s="20">
        <v>0</v>
      </c>
      <c r="J133" s="81">
        <v>33787</v>
      </c>
      <c r="K133" s="80" t="s">
        <v>858</v>
      </c>
      <c r="L133" s="82"/>
    </row>
    <row r="134" spans="1:12" ht="47.25" customHeight="1">
      <c r="A134" s="10" t="s">
        <v>318</v>
      </c>
      <c r="B134" s="11" t="s">
        <v>319</v>
      </c>
      <c r="C134" s="11" t="s">
        <v>14</v>
      </c>
      <c r="D134" s="12" t="s">
        <v>320</v>
      </c>
      <c r="E134" s="8">
        <v>2004</v>
      </c>
      <c r="F134" s="8">
        <v>20.57</v>
      </c>
      <c r="G134" s="13">
        <v>163564.97</v>
      </c>
      <c r="H134" s="22">
        <f t="shared" si="6"/>
        <v>112795.48000000001</v>
      </c>
      <c r="I134" s="20">
        <v>50769.49</v>
      </c>
      <c r="J134" s="81">
        <v>33787</v>
      </c>
      <c r="K134" s="80" t="s">
        <v>858</v>
      </c>
      <c r="L134" s="82"/>
    </row>
    <row r="135" spans="1:12" ht="47.25" customHeight="1">
      <c r="A135" s="10" t="s">
        <v>321</v>
      </c>
      <c r="B135" s="11" t="s">
        <v>322</v>
      </c>
      <c r="C135" s="11" t="s">
        <v>14</v>
      </c>
      <c r="D135" s="12" t="s">
        <v>323</v>
      </c>
      <c r="E135" s="8">
        <v>1997</v>
      </c>
      <c r="F135" s="8">
        <v>7</v>
      </c>
      <c r="G135" s="13">
        <v>4212</v>
      </c>
      <c r="H135" s="22">
        <f t="shared" si="6"/>
        <v>4181.3999999999996</v>
      </c>
      <c r="I135" s="20">
        <v>30.6</v>
      </c>
      <c r="J135" s="81">
        <v>33787</v>
      </c>
      <c r="K135" s="80" t="s">
        <v>858</v>
      </c>
      <c r="L135" s="82"/>
    </row>
    <row r="136" spans="1:12" ht="47.25" customHeight="1">
      <c r="A136" s="10" t="s">
        <v>324</v>
      </c>
      <c r="B136" s="11" t="s">
        <v>325</v>
      </c>
      <c r="C136" s="11" t="s">
        <v>14</v>
      </c>
      <c r="D136" s="12" t="s">
        <v>309</v>
      </c>
      <c r="E136" s="8">
        <v>1988</v>
      </c>
      <c r="F136" s="8">
        <v>23.5</v>
      </c>
      <c r="G136" s="13">
        <v>17593</v>
      </c>
      <c r="H136" s="22">
        <f t="shared" si="6"/>
        <v>17593</v>
      </c>
      <c r="I136" s="20">
        <v>0</v>
      </c>
      <c r="J136" s="81">
        <v>33787</v>
      </c>
      <c r="K136" s="80" t="s">
        <v>858</v>
      </c>
      <c r="L136" s="82"/>
    </row>
    <row r="137" spans="1:12" ht="47.25" customHeight="1">
      <c r="A137" s="10" t="s">
        <v>326</v>
      </c>
      <c r="B137" s="11" t="s">
        <v>327</v>
      </c>
      <c r="C137" s="11" t="s">
        <v>14</v>
      </c>
      <c r="D137" s="12" t="s">
        <v>309</v>
      </c>
      <c r="E137" s="8">
        <v>1974</v>
      </c>
      <c r="F137" s="8">
        <v>60.4</v>
      </c>
      <c r="G137" s="13">
        <v>59765</v>
      </c>
      <c r="H137" s="22">
        <f t="shared" si="6"/>
        <v>51474.05</v>
      </c>
      <c r="I137" s="20">
        <v>8290.9500000000007</v>
      </c>
      <c r="J137" s="81">
        <v>33787</v>
      </c>
      <c r="K137" s="80" t="s">
        <v>858</v>
      </c>
      <c r="L137" s="82"/>
    </row>
    <row r="138" spans="1:12" ht="47.25" customHeight="1">
      <c r="A138" s="10" t="s">
        <v>328</v>
      </c>
      <c r="B138" s="11" t="s">
        <v>329</v>
      </c>
      <c r="C138" s="11" t="s">
        <v>14</v>
      </c>
      <c r="D138" s="12" t="s">
        <v>79</v>
      </c>
      <c r="E138" s="8">
        <v>1996</v>
      </c>
      <c r="F138" s="8">
        <v>18</v>
      </c>
      <c r="G138" s="13">
        <v>1100</v>
      </c>
      <c r="H138" s="22">
        <f t="shared" si="6"/>
        <v>916.3</v>
      </c>
      <c r="I138" s="20">
        <v>183.7</v>
      </c>
      <c r="J138" s="81">
        <v>33787</v>
      </c>
      <c r="K138" s="80" t="s">
        <v>858</v>
      </c>
      <c r="L138" s="82"/>
    </row>
    <row r="139" spans="1:12" ht="47.25" customHeight="1">
      <c r="A139" s="10" t="s">
        <v>330</v>
      </c>
      <c r="B139" s="11" t="s">
        <v>331</v>
      </c>
      <c r="C139" s="11" t="s">
        <v>14</v>
      </c>
      <c r="D139" s="12" t="s">
        <v>332</v>
      </c>
      <c r="E139" s="8">
        <v>2005</v>
      </c>
      <c r="F139" s="8">
        <v>60.6</v>
      </c>
      <c r="G139" s="13">
        <v>401860.68</v>
      </c>
      <c r="H139" s="22">
        <f t="shared" si="6"/>
        <v>200126.4</v>
      </c>
      <c r="I139" s="20">
        <v>201734.28</v>
      </c>
      <c r="J139" s="81">
        <v>33787</v>
      </c>
      <c r="K139" s="80" t="s">
        <v>858</v>
      </c>
      <c r="L139" s="82"/>
    </row>
    <row r="140" spans="1:12" ht="47.25" customHeight="1">
      <c r="A140" s="10" t="s">
        <v>333</v>
      </c>
      <c r="B140" s="11" t="s">
        <v>334</v>
      </c>
      <c r="C140" s="11" t="s">
        <v>18</v>
      </c>
      <c r="D140" s="12" t="s">
        <v>309</v>
      </c>
      <c r="E140" s="8">
        <v>1968</v>
      </c>
      <c r="F140" s="8"/>
      <c r="G140" s="13">
        <v>45423</v>
      </c>
      <c r="H140" s="22">
        <f t="shared" si="6"/>
        <v>45423</v>
      </c>
      <c r="I140" s="20">
        <v>0</v>
      </c>
      <c r="J140" s="81">
        <v>33787</v>
      </c>
      <c r="K140" s="80" t="s">
        <v>858</v>
      </c>
      <c r="L140" s="82"/>
    </row>
    <row r="141" spans="1:12" ht="47.25" customHeight="1">
      <c r="A141" s="10" t="s">
        <v>335</v>
      </c>
      <c r="B141" s="11" t="s">
        <v>336</v>
      </c>
      <c r="C141" s="11" t="s">
        <v>14</v>
      </c>
      <c r="D141" s="12" t="s">
        <v>309</v>
      </c>
      <c r="E141" s="8">
        <v>1979</v>
      </c>
      <c r="F141" s="8"/>
      <c r="G141" s="13">
        <v>26892</v>
      </c>
      <c r="H141" s="22">
        <f t="shared" si="6"/>
        <v>26892</v>
      </c>
      <c r="I141" s="20">
        <v>0</v>
      </c>
      <c r="J141" s="81">
        <v>33787</v>
      </c>
      <c r="K141" s="80" t="s">
        <v>858</v>
      </c>
      <c r="L141" s="82"/>
    </row>
    <row r="142" spans="1:12" ht="47.25" customHeight="1">
      <c r="A142" s="10" t="s">
        <v>337</v>
      </c>
      <c r="B142" s="11" t="s">
        <v>247</v>
      </c>
      <c r="C142" s="11" t="s">
        <v>18</v>
      </c>
      <c r="D142" s="12" t="s">
        <v>309</v>
      </c>
      <c r="E142" s="8">
        <v>1966</v>
      </c>
      <c r="F142" s="8"/>
      <c r="G142" s="13">
        <v>100004</v>
      </c>
      <c r="H142" s="22">
        <f t="shared" si="6"/>
        <v>90550.56</v>
      </c>
      <c r="I142" s="20">
        <v>9453.44</v>
      </c>
      <c r="J142" s="81">
        <v>33787</v>
      </c>
      <c r="K142" s="80" t="s">
        <v>858</v>
      </c>
      <c r="L142" s="82"/>
    </row>
    <row r="143" spans="1:12" ht="47.25" customHeight="1">
      <c r="A143" s="10" t="s">
        <v>338</v>
      </c>
      <c r="B143" s="11" t="s">
        <v>339</v>
      </c>
      <c r="C143" s="11" t="s">
        <v>18</v>
      </c>
      <c r="D143" s="12" t="s">
        <v>309</v>
      </c>
      <c r="E143" s="8">
        <v>1966</v>
      </c>
      <c r="F143" s="8"/>
      <c r="G143" s="13">
        <v>13192</v>
      </c>
      <c r="H143" s="22">
        <f t="shared" si="6"/>
        <v>11465.02</v>
      </c>
      <c r="I143" s="20">
        <v>1726.98</v>
      </c>
      <c r="J143" s="81">
        <v>33787</v>
      </c>
      <c r="K143" s="80" t="s">
        <v>858</v>
      </c>
      <c r="L143" s="82"/>
    </row>
    <row r="144" spans="1:12" ht="47.25" customHeight="1">
      <c r="A144" s="17" t="s">
        <v>340</v>
      </c>
      <c r="B144" s="18" t="s">
        <v>341</v>
      </c>
      <c r="C144" s="18" t="s">
        <v>18</v>
      </c>
      <c r="D144" s="12" t="s">
        <v>342</v>
      </c>
      <c r="E144" s="19">
        <v>2007</v>
      </c>
      <c r="F144" s="19">
        <v>10</v>
      </c>
      <c r="G144" s="20">
        <v>399553.96</v>
      </c>
      <c r="H144" s="22">
        <f t="shared" si="6"/>
        <v>102925</v>
      </c>
      <c r="I144" s="20">
        <v>296628.96000000002</v>
      </c>
      <c r="J144" s="81">
        <v>33787</v>
      </c>
      <c r="K144" s="80" t="s">
        <v>858</v>
      </c>
      <c r="L144" s="82"/>
    </row>
    <row r="145" spans="1:12" ht="47.25" customHeight="1">
      <c r="A145" s="10" t="s">
        <v>343</v>
      </c>
      <c r="B145" s="11" t="s">
        <v>344</v>
      </c>
      <c r="C145" s="11" t="s">
        <v>14</v>
      </c>
      <c r="D145" s="12" t="s">
        <v>309</v>
      </c>
      <c r="E145" s="19">
        <v>2010</v>
      </c>
      <c r="F145" s="19"/>
      <c r="G145" s="20">
        <v>57000</v>
      </c>
      <c r="H145" s="22">
        <f t="shared" si="6"/>
        <v>0</v>
      </c>
      <c r="I145" s="20">
        <v>57000</v>
      </c>
      <c r="J145" s="81">
        <v>33787</v>
      </c>
      <c r="K145" s="80" t="s">
        <v>858</v>
      </c>
      <c r="L145" s="82"/>
    </row>
    <row r="146" spans="1:12" ht="24" customHeight="1">
      <c r="A146" s="35"/>
      <c r="B146" s="36" t="s">
        <v>476</v>
      </c>
      <c r="C146" s="36">
        <f>145-128</f>
        <v>17</v>
      </c>
      <c r="D146" s="36" t="s">
        <v>474</v>
      </c>
      <c r="E146" s="37"/>
      <c r="F146" s="37">
        <f>SUM(F129:F145)</f>
        <v>1377.2699999999998</v>
      </c>
      <c r="G146" s="38">
        <f>SUM(G129:G145)</f>
        <v>3591059.6100000003</v>
      </c>
      <c r="H146" s="38">
        <f>SUM(H129:H145)</f>
        <v>2826441.6099999994</v>
      </c>
      <c r="I146" s="38">
        <f>SUM(I129:I145)</f>
        <v>764618</v>
      </c>
      <c r="J146" s="81"/>
      <c r="K146" s="80"/>
      <c r="L146" s="82"/>
    </row>
    <row r="147" spans="1:12" ht="28.5" customHeight="1">
      <c r="A147" s="26"/>
      <c r="B147" s="27"/>
      <c r="C147" s="27"/>
      <c r="D147" s="16"/>
      <c r="E147" s="28"/>
      <c r="F147" s="28"/>
      <c r="G147" s="29"/>
      <c r="H147" s="29"/>
      <c r="I147" s="29"/>
    </row>
    <row r="148" spans="1:12">
      <c r="A148" s="101" t="s">
        <v>883</v>
      </c>
      <c r="B148" s="101"/>
      <c r="C148" s="101"/>
      <c r="D148" s="101"/>
      <c r="E148" s="103"/>
      <c r="F148" s="103"/>
      <c r="G148" s="103"/>
      <c r="H148" s="103"/>
      <c r="I148" s="103"/>
    </row>
    <row r="149" spans="1:12" ht="45">
      <c r="A149" s="2" t="s">
        <v>1</v>
      </c>
      <c r="B149" s="2" t="s">
        <v>2</v>
      </c>
      <c r="C149" s="2" t="s">
        <v>3</v>
      </c>
      <c r="D149" s="3" t="s">
        <v>4</v>
      </c>
      <c r="E149" s="2" t="s">
        <v>5</v>
      </c>
      <c r="F149" s="2" t="s">
        <v>6</v>
      </c>
      <c r="G149" s="2" t="s">
        <v>7</v>
      </c>
      <c r="H149" s="2" t="s">
        <v>844</v>
      </c>
      <c r="I149" s="2" t="s">
        <v>8</v>
      </c>
      <c r="J149" s="3" t="s">
        <v>857</v>
      </c>
      <c r="K149" s="3" t="s">
        <v>856</v>
      </c>
      <c r="L149" s="3" t="s">
        <v>885</v>
      </c>
    </row>
    <row r="150" spans="1:12" ht="48" customHeight="1">
      <c r="A150" s="4" t="s">
        <v>284</v>
      </c>
      <c r="B150" s="5" t="s">
        <v>280</v>
      </c>
      <c r="C150" s="5" t="s">
        <v>285</v>
      </c>
      <c r="D150" s="6" t="s">
        <v>286</v>
      </c>
      <c r="E150" s="2">
        <v>1990</v>
      </c>
      <c r="F150" s="2">
        <v>141</v>
      </c>
      <c r="G150" s="7">
        <v>654553</v>
      </c>
      <c r="H150" s="22">
        <f>G150-I150</f>
        <v>440553</v>
      </c>
      <c r="I150" s="7">
        <v>214000</v>
      </c>
      <c r="J150" s="81">
        <v>33787</v>
      </c>
      <c r="K150" s="80" t="s">
        <v>858</v>
      </c>
      <c r="L150" s="78"/>
    </row>
    <row r="151" spans="1:12" ht="21" customHeight="1">
      <c r="A151" s="35"/>
      <c r="B151" s="36" t="s">
        <v>476</v>
      </c>
      <c r="C151" s="36">
        <v>1</v>
      </c>
      <c r="D151" s="36" t="s">
        <v>474</v>
      </c>
      <c r="E151" s="37"/>
      <c r="F151" s="37">
        <f>SUM(F150)</f>
        <v>141</v>
      </c>
      <c r="G151" s="38">
        <f>G150</f>
        <v>654553</v>
      </c>
      <c r="H151" s="38">
        <f>H150</f>
        <v>440553</v>
      </c>
      <c r="I151" s="38">
        <f>I150</f>
        <v>214000</v>
      </c>
      <c r="J151" s="82"/>
      <c r="K151" s="82"/>
      <c r="L151" s="82"/>
    </row>
    <row r="153" spans="1:12">
      <c r="A153" s="58"/>
      <c r="B153" s="58"/>
      <c r="C153" s="58"/>
      <c r="D153" s="59"/>
      <c r="E153" s="58"/>
      <c r="F153" s="58"/>
      <c r="G153" s="58"/>
      <c r="H153" s="58"/>
      <c r="I153" s="58"/>
    </row>
    <row r="154" spans="1:12">
      <c r="A154" s="101" t="s">
        <v>884</v>
      </c>
      <c r="B154" s="101"/>
      <c r="C154" s="101"/>
      <c r="D154" s="101"/>
      <c r="E154" s="102"/>
      <c r="F154" s="102"/>
      <c r="G154" s="102"/>
      <c r="H154" s="102"/>
      <c r="I154" s="102"/>
    </row>
    <row r="155" spans="1:12" ht="45">
      <c r="A155" s="60" t="s">
        <v>1</v>
      </c>
      <c r="B155" s="60" t="s">
        <v>2</v>
      </c>
      <c r="C155" s="60" t="s">
        <v>3</v>
      </c>
      <c r="D155" s="61" t="s">
        <v>4</v>
      </c>
      <c r="E155" s="60" t="s">
        <v>5</v>
      </c>
      <c r="F155" s="60" t="s">
        <v>6</v>
      </c>
      <c r="G155" s="60" t="s">
        <v>7</v>
      </c>
      <c r="H155" s="2" t="s">
        <v>844</v>
      </c>
      <c r="I155" s="60" t="s">
        <v>8</v>
      </c>
      <c r="J155" s="3" t="s">
        <v>857</v>
      </c>
      <c r="K155" s="3" t="s">
        <v>856</v>
      </c>
      <c r="L155" s="3" t="s">
        <v>885</v>
      </c>
    </row>
    <row r="156" spans="1:12" ht="56.25">
      <c r="A156" s="62" t="s">
        <v>827</v>
      </c>
      <c r="B156" s="63" t="s">
        <v>37</v>
      </c>
      <c r="C156" s="63" t="s">
        <v>25</v>
      </c>
      <c r="D156" s="64" t="s">
        <v>597</v>
      </c>
      <c r="E156" s="60" t="s">
        <v>598</v>
      </c>
      <c r="F156" s="60">
        <v>54.8</v>
      </c>
      <c r="G156" s="65">
        <v>158200</v>
      </c>
      <c r="H156" s="22">
        <f>G156-I156</f>
        <v>158200</v>
      </c>
      <c r="I156" s="65"/>
      <c r="J156" s="81">
        <v>33787</v>
      </c>
      <c r="K156" s="80" t="s">
        <v>858</v>
      </c>
      <c r="L156" s="78"/>
    </row>
    <row r="157" spans="1:12" ht="56.25">
      <c r="A157" s="62" t="s">
        <v>823</v>
      </c>
      <c r="B157" s="63" t="s">
        <v>37</v>
      </c>
      <c r="C157" s="63" t="s">
        <v>25</v>
      </c>
      <c r="D157" s="64" t="s">
        <v>599</v>
      </c>
      <c r="E157" s="60">
        <v>1985</v>
      </c>
      <c r="F157" s="60">
        <v>52.6</v>
      </c>
      <c r="G157" s="65">
        <v>571029.66</v>
      </c>
      <c r="H157" s="22">
        <f t="shared" ref="H157:H220" si="7">G157-I157</f>
        <v>571029.66</v>
      </c>
      <c r="I157" s="65">
        <v>0</v>
      </c>
      <c r="J157" s="81">
        <v>33787</v>
      </c>
      <c r="K157" s="80" t="s">
        <v>858</v>
      </c>
      <c r="L157" s="82"/>
    </row>
    <row r="158" spans="1:12" ht="56.25">
      <c r="A158" s="62" t="s">
        <v>815</v>
      </c>
      <c r="B158" s="63" t="s">
        <v>600</v>
      </c>
      <c r="C158" s="63" t="s">
        <v>25</v>
      </c>
      <c r="D158" s="64" t="s">
        <v>601</v>
      </c>
      <c r="E158" s="60">
        <v>1960</v>
      </c>
      <c r="F158" s="60"/>
      <c r="G158" s="65">
        <v>419479</v>
      </c>
      <c r="H158" s="22">
        <f t="shared" si="7"/>
        <v>419479</v>
      </c>
      <c r="I158" s="65">
        <v>0</v>
      </c>
      <c r="J158" s="81">
        <v>33787</v>
      </c>
      <c r="K158" s="80" t="s">
        <v>858</v>
      </c>
      <c r="L158" s="82"/>
    </row>
    <row r="159" spans="1:12" ht="67.5">
      <c r="A159" s="62" t="s">
        <v>828</v>
      </c>
      <c r="B159" s="63" t="s">
        <v>92</v>
      </c>
      <c r="C159" s="63" t="s">
        <v>25</v>
      </c>
      <c r="D159" s="64" t="s">
        <v>602</v>
      </c>
      <c r="E159" s="60">
        <v>1962</v>
      </c>
      <c r="F159" s="60">
        <v>43.2</v>
      </c>
      <c r="G159" s="65">
        <v>1200000</v>
      </c>
      <c r="H159" s="22">
        <f t="shared" si="7"/>
        <v>0</v>
      </c>
      <c r="I159" s="65">
        <v>1200000</v>
      </c>
      <c r="J159" s="81">
        <v>40234</v>
      </c>
      <c r="K159" s="80" t="s">
        <v>864</v>
      </c>
      <c r="L159" s="82"/>
    </row>
    <row r="160" spans="1:12" ht="56.25">
      <c r="A160" s="62" t="s">
        <v>816</v>
      </c>
      <c r="B160" s="63" t="s">
        <v>37</v>
      </c>
      <c r="C160" s="63" t="s">
        <v>25</v>
      </c>
      <c r="D160" s="64" t="s">
        <v>603</v>
      </c>
      <c r="E160" s="60">
        <v>1960</v>
      </c>
      <c r="F160" s="60">
        <f>25.2+38.5</f>
        <v>63.7</v>
      </c>
      <c r="G160" s="65">
        <v>156424</v>
      </c>
      <c r="H160" s="22">
        <f t="shared" si="7"/>
        <v>156424</v>
      </c>
      <c r="I160" s="65">
        <v>0</v>
      </c>
      <c r="J160" s="81">
        <v>33787</v>
      </c>
      <c r="K160" s="80" t="s">
        <v>858</v>
      </c>
      <c r="L160" s="82"/>
    </row>
    <row r="161" spans="1:12" ht="56.25">
      <c r="A161" s="62" t="s">
        <v>817</v>
      </c>
      <c r="B161" s="63" t="s">
        <v>37</v>
      </c>
      <c r="C161" s="63" t="s">
        <v>25</v>
      </c>
      <c r="D161" s="64" t="s">
        <v>604</v>
      </c>
      <c r="E161" s="60">
        <v>1962</v>
      </c>
      <c r="F161" s="60">
        <v>44.5</v>
      </c>
      <c r="G161" s="65">
        <v>102018</v>
      </c>
      <c r="H161" s="22">
        <f t="shared" si="7"/>
        <v>102018</v>
      </c>
      <c r="I161" s="65"/>
      <c r="J161" s="81">
        <v>33787</v>
      </c>
      <c r="K161" s="80" t="s">
        <v>858</v>
      </c>
      <c r="L161" s="82"/>
    </row>
    <row r="162" spans="1:12" ht="56.25">
      <c r="A162" s="62" t="s">
        <v>800</v>
      </c>
      <c r="B162" s="63" t="s">
        <v>37</v>
      </c>
      <c r="C162" s="63" t="s">
        <v>25</v>
      </c>
      <c r="D162" s="64" t="s">
        <v>605</v>
      </c>
      <c r="E162" s="60">
        <v>1978</v>
      </c>
      <c r="F162" s="60">
        <f>51.4+51.1</f>
        <v>102.5</v>
      </c>
      <c r="G162" s="65">
        <v>258836</v>
      </c>
      <c r="H162" s="22">
        <f t="shared" si="7"/>
        <v>258836</v>
      </c>
      <c r="I162" s="65"/>
      <c r="J162" s="81">
        <v>33787</v>
      </c>
      <c r="K162" s="80" t="s">
        <v>858</v>
      </c>
      <c r="L162" s="82"/>
    </row>
    <row r="163" spans="1:12" ht="56.25">
      <c r="A163" s="62" t="s">
        <v>798</v>
      </c>
      <c r="B163" s="63" t="s">
        <v>37</v>
      </c>
      <c r="C163" s="63" t="s">
        <v>25</v>
      </c>
      <c r="D163" s="64" t="s">
        <v>606</v>
      </c>
      <c r="E163" s="60">
        <v>1986</v>
      </c>
      <c r="F163" s="60">
        <f>27.3+28.8</f>
        <v>56.1</v>
      </c>
      <c r="G163" s="65">
        <v>153226</v>
      </c>
      <c r="H163" s="22">
        <f t="shared" si="7"/>
        <v>153226</v>
      </c>
      <c r="I163" s="65"/>
      <c r="J163" s="81">
        <v>33787</v>
      </c>
      <c r="K163" s="80" t="s">
        <v>858</v>
      </c>
      <c r="L163" s="82"/>
    </row>
    <row r="164" spans="1:12" ht="56.25">
      <c r="A164" s="62" t="s">
        <v>799</v>
      </c>
      <c r="B164" s="63" t="s">
        <v>37</v>
      </c>
      <c r="C164" s="63" t="s">
        <v>25</v>
      </c>
      <c r="D164" s="64" t="s">
        <v>607</v>
      </c>
      <c r="E164" s="60">
        <v>1978</v>
      </c>
      <c r="F164" s="60">
        <v>31.4</v>
      </c>
      <c r="G164" s="65">
        <v>86901</v>
      </c>
      <c r="H164" s="22">
        <f t="shared" si="7"/>
        <v>86901</v>
      </c>
      <c r="I164" s="65"/>
      <c r="J164" s="81">
        <v>33787</v>
      </c>
      <c r="K164" s="80" t="s">
        <v>858</v>
      </c>
      <c r="L164" s="82"/>
    </row>
    <row r="165" spans="1:12" ht="56.25">
      <c r="A165" s="62" t="s">
        <v>813</v>
      </c>
      <c r="B165" s="63" t="s">
        <v>37</v>
      </c>
      <c r="C165" s="63" t="s">
        <v>25</v>
      </c>
      <c r="D165" s="64" t="s">
        <v>608</v>
      </c>
      <c r="E165" s="60">
        <v>1980</v>
      </c>
      <c r="F165" s="60">
        <f>44.6+51.2</f>
        <v>95.800000000000011</v>
      </c>
      <c r="G165" s="65">
        <v>501562</v>
      </c>
      <c r="H165" s="22">
        <f t="shared" si="7"/>
        <v>501562</v>
      </c>
      <c r="I165" s="65"/>
      <c r="J165" s="81">
        <v>33787</v>
      </c>
      <c r="K165" s="80" t="s">
        <v>858</v>
      </c>
      <c r="L165" s="82"/>
    </row>
    <row r="166" spans="1:12" ht="56.25">
      <c r="A166" s="62" t="s">
        <v>810</v>
      </c>
      <c r="B166" s="63" t="s">
        <v>37</v>
      </c>
      <c r="C166" s="63" t="s">
        <v>25</v>
      </c>
      <c r="D166" s="64" t="s">
        <v>609</v>
      </c>
      <c r="E166" s="60">
        <v>1946</v>
      </c>
      <c r="F166" s="60">
        <v>60.4</v>
      </c>
      <c r="G166" s="65">
        <v>131573</v>
      </c>
      <c r="H166" s="22">
        <f t="shared" si="7"/>
        <v>131573</v>
      </c>
      <c r="I166" s="65"/>
      <c r="J166" s="81">
        <v>33787</v>
      </c>
      <c r="K166" s="80" t="s">
        <v>858</v>
      </c>
      <c r="L166" s="82"/>
    </row>
    <row r="167" spans="1:12" ht="56.25">
      <c r="A167" s="62" t="s">
        <v>812</v>
      </c>
      <c r="B167" s="63" t="s">
        <v>37</v>
      </c>
      <c r="C167" s="63" t="s">
        <v>25</v>
      </c>
      <c r="D167" s="64" t="s">
        <v>610</v>
      </c>
      <c r="E167" s="60">
        <v>1959</v>
      </c>
      <c r="F167" s="60">
        <v>26.5</v>
      </c>
      <c r="G167" s="65">
        <v>143670</v>
      </c>
      <c r="H167" s="22">
        <f t="shared" si="7"/>
        <v>143670</v>
      </c>
      <c r="I167" s="65"/>
      <c r="J167" s="81">
        <v>33787</v>
      </c>
      <c r="K167" s="80" t="s">
        <v>858</v>
      </c>
      <c r="L167" s="82"/>
    </row>
    <row r="168" spans="1:12" ht="56.25">
      <c r="A168" s="62" t="s">
        <v>814</v>
      </c>
      <c r="B168" s="63" t="s">
        <v>37</v>
      </c>
      <c r="C168" s="63" t="s">
        <v>25</v>
      </c>
      <c r="D168" s="64" t="s">
        <v>611</v>
      </c>
      <c r="E168" s="60">
        <v>1953</v>
      </c>
      <c r="F168" s="60">
        <v>58.7</v>
      </c>
      <c r="G168" s="65">
        <v>250721</v>
      </c>
      <c r="H168" s="22">
        <f t="shared" si="7"/>
        <v>250721</v>
      </c>
      <c r="I168" s="65"/>
      <c r="J168" s="81">
        <v>33787</v>
      </c>
      <c r="K168" s="80" t="s">
        <v>858</v>
      </c>
      <c r="L168" s="82"/>
    </row>
    <row r="169" spans="1:12" ht="56.25">
      <c r="A169" s="62" t="s">
        <v>811</v>
      </c>
      <c r="B169" s="63" t="s">
        <v>37</v>
      </c>
      <c r="C169" s="63" t="s">
        <v>25</v>
      </c>
      <c r="D169" s="64" t="s">
        <v>612</v>
      </c>
      <c r="E169" s="60">
        <v>1971</v>
      </c>
      <c r="F169" s="60">
        <f>26+25.9</f>
        <v>51.9</v>
      </c>
      <c r="G169" s="65">
        <v>243272</v>
      </c>
      <c r="H169" s="22">
        <f t="shared" si="7"/>
        <v>243272</v>
      </c>
      <c r="I169" s="65"/>
      <c r="J169" s="81">
        <v>33787</v>
      </c>
      <c r="K169" s="80" t="s">
        <v>858</v>
      </c>
      <c r="L169" s="82"/>
    </row>
    <row r="170" spans="1:12" ht="56.25">
      <c r="A170" s="62" t="s">
        <v>815</v>
      </c>
      <c r="B170" s="63" t="s">
        <v>37</v>
      </c>
      <c r="C170" s="63" t="s">
        <v>25</v>
      </c>
      <c r="D170" s="64" t="s">
        <v>613</v>
      </c>
      <c r="E170" s="60">
        <v>1946</v>
      </c>
      <c r="F170" s="60">
        <v>40.200000000000003</v>
      </c>
      <c r="G170" s="65">
        <v>83966</v>
      </c>
      <c r="H170" s="22">
        <f t="shared" si="7"/>
        <v>83966</v>
      </c>
      <c r="I170" s="65"/>
      <c r="J170" s="81">
        <v>33787</v>
      </c>
      <c r="K170" s="80" t="s">
        <v>858</v>
      </c>
      <c r="L170" s="82"/>
    </row>
    <row r="171" spans="1:12" ht="56.25">
      <c r="A171" s="62" t="s">
        <v>794</v>
      </c>
      <c r="B171" s="63" t="s">
        <v>37</v>
      </c>
      <c r="C171" s="63" t="s">
        <v>25</v>
      </c>
      <c r="D171" s="64" t="s">
        <v>614</v>
      </c>
      <c r="E171" s="60">
        <v>1972</v>
      </c>
      <c r="F171" s="60">
        <f>44.1+49</f>
        <v>93.1</v>
      </c>
      <c r="G171" s="65">
        <v>416070</v>
      </c>
      <c r="H171" s="22">
        <f t="shared" si="7"/>
        <v>416070</v>
      </c>
      <c r="I171" s="65"/>
      <c r="J171" s="81">
        <v>33787</v>
      </c>
      <c r="K171" s="80" t="s">
        <v>858</v>
      </c>
      <c r="L171" s="82"/>
    </row>
    <row r="172" spans="1:12" ht="56.25">
      <c r="A172" s="62" t="s">
        <v>777</v>
      </c>
      <c r="B172" s="63" t="s">
        <v>37</v>
      </c>
      <c r="C172" s="63" t="s">
        <v>25</v>
      </c>
      <c r="D172" s="64" t="s">
        <v>615</v>
      </c>
      <c r="E172" s="60">
        <v>1947</v>
      </c>
      <c r="F172" s="60">
        <v>23.8</v>
      </c>
      <c r="G172" s="65">
        <v>69687</v>
      </c>
      <c r="H172" s="22">
        <f t="shared" si="7"/>
        <v>69687</v>
      </c>
      <c r="I172" s="65"/>
      <c r="J172" s="81">
        <v>33787</v>
      </c>
      <c r="K172" s="80" t="s">
        <v>858</v>
      </c>
      <c r="L172" s="82"/>
    </row>
    <row r="173" spans="1:12" ht="56.25">
      <c r="A173" s="62" t="s">
        <v>824</v>
      </c>
      <c r="B173" s="63" t="s">
        <v>37</v>
      </c>
      <c r="C173" s="63" t="s">
        <v>25</v>
      </c>
      <c r="D173" s="64" t="s">
        <v>616</v>
      </c>
      <c r="E173" s="60">
        <v>1963</v>
      </c>
      <c r="F173" s="60">
        <f>28.7+29.1</f>
        <v>57.8</v>
      </c>
      <c r="G173" s="65">
        <v>138400</v>
      </c>
      <c r="H173" s="22">
        <f t="shared" si="7"/>
        <v>138400</v>
      </c>
      <c r="I173" s="65"/>
      <c r="J173" s="81">
        <v>33787</v>
      </c>
      <c r="K173" s="80" t="s">
        <v>858</v>
      </c>
      <c r="L173" s="82"/>
    </row>
    <row r="174" spans="1:12" ht="56.25">
      <c r="A174" s="62" t="s">
        <v>730</v>
      </c>
      <c r="B174" s="63" t="s">
        <v>37</v>
      </c>
      <c r="C174" s="63" t="s">
        <v>25</v>
      </c>
      <c r="D174" s="64" t="s">
        <v>617</v>
      </c>
      <c r="E174" s="60">
        <v>1961</v>
      </c>
      <c r="F174" s="60">
        <v>52.4</v>
      </c>
      <c r="G174" s="65">
        <v>103068</v>
      </c>
      <c r="H174" s="22">
        <f t="shared" si="7"/>
        <v>103068</v>
      </c>
      <c r="I174" s="65">
        <f>G174-103068</f>
        <v>0</v>
      </c>
      <c r="J174" s="81">
        <v>33787</v>
      </c>
      <c r="K174" s="80" t="s">
        <v>858</v>
      </c>
      <c r="L174" s="82"/>
    </row>
    <row r="175" spans="1:12" ht="56.25">
      <c r="A175" s="62" t="s">
        <v>738</v>
      </c>
      <c r="B175" s="63" t="s">
        <v>37</v>
      </c>
      <c r="C175" s="63" t="s">
        <v>25</v>
      </c>
      <c r="D175" s="64" t="s">
        <v>320</v>
      </c>
      <c r="E175" s="60">
        <v>1971</v>
      </c>
      <c r="F175" s="60">
        <f>42.2+31.7</f>
        <v>73.900000000000006</v>
      </c>
      <c r="G175" s="65">
        <v>495016</v>
      </c>
      <c r="H175" s="22">
        <f t="shared" si="7"/>
        <v>197883</v>
      </c>
      <c r="I175" s="65">
        <f>G175-197883</f>
        <v>297133</v>
      </c>
      <c r="J175" s="81">
        <v>33787</v>
      </c>
      <c r="K175" s="80" t="s">
        <v>858</v>
      </c>
      <c r="L175" s="82"/>
    </row>
    <row r="176" spans="1:12" ht="56.25">
      <c r="A176" s="62" t="s">
        <v>736</v>
      </c>
      <c r="B176" s="63" t="s">
        <v>37</v>
      </c>
      <c r="C176" s="63" t="s">
        <v>25</v>
      </c>
      <c r="D176" s="64" t="s">
        <v>618</v>
      </c>
      <c r="E176" s="60">
        <v>1975</v>
      </c>
      <c r="F176" s="60">
        <v>57.9</v>
      </c>
      <c r="G176" s="65">
        <v>344169</v>
      </c>
      <c r="H176" s="22">
        <f t="shared" si="7"/>
        <v>121425</v>
      </c>
      <c r="I176" s="65">
        <f>G176-121425</f>
        <v>222744</v>
      </c>
      <c r="J176" s="81">
        <v>33787</v>
      </c>
      <c r="K176" s="80" t="s">
        <v>858</v>
      </c>
      <c r="L176" s="82"/>
    </row>
    <row r="177" spans="1:12" ht="67.5">
      <c r="A177" s="62" t="s">
        <v>822</v>
      </c>
      <c r="B177" s="63" t="s">
        <v>619</v>
      </c>
      <c r="C177" s="63" t="s">
        <v>25</v>
      </c>
      <c r="D177" s="64" t="s">
        <v>620</v>
      </c>
      <c r="E177" s="60">
        <v>1975</v>
      </c>
      <c r="F177" s="60">
        <v>14.3</v>
      </c>
      <c r="G177" s="65">
        <v>150000</v>
      </c>
      <c r="H177" s="22">
        <f t="shared" si="7"/>
        <v>0</v>
      </c>
      <c r="I177" s="65">
        <v>150000</v>
      </c>
      <c r="J177" s="81">
        <v>39155</v>
      </c>
      <c r="K177" s="80" t="s">
        <v>863</v>
      </c>
      <c r="L177" s="82"/>
    </row>
    <row r="178" spans="1:12" ht="56.25">
      <c r="A178" s="62" t="s">
        <v>735</v>
      </c>
      <c r="B178" s="63" t="s">
        <v>37</v>
      </c>
      <c r="C178" s="63" t="s">
        <v>25</v>
      </c>
      <c r="D178" s="64" t="s">
        <v>621</v>
      </c>
      <c r="E178" s="60">
        <v>1981</v>
      </c>
      <c r="F178" s="60">
        <f>48.8+40.9</f>
        <v>89.699999999999989</v>
      </c>
      <c r="G178" s="65">
        <v>1127801</v>
      </c>
      <c r="H178" s="22">
        <f t="shared" si="7"/>
        <v>320962</v>
      </c>
      <c r="I178" s="65">
        <f>G178-320962</f>
        <v>806839</v>
      </c>
      <c r="J178" s="81">
        <v>33787</v>
      </c>
      <c r="K178" s="80" t="s">
        <v>858</v>
      </c>
      <c r="L178" s="82"/>
    </row>
    <row r="179" spans="1:12" ht="56.25">
      <c r="A179" s="62" t="s">
        <v>734</v>
      </c>
      <c r="B179" s="63" t="s">
        <v>37</v>
      </c>
      <c r="C179" s="63" t="s">
        <v>25</v>
      </c>
      <c r="D179" s="64" t="s">
        <v>622</v>
      </c>
      <c r="E179" s="60">
        <v>1985</v>
      </c>
      <c r="F179" s="60">
        <f>34.4+61.8+69.1+8.8</f>
        <v>174.1</v>
      </c>
      <c r="G179" s="65">
        <v>693427</v>
      </c>
      <c r="H179" s="22">
        <f t="shared" si="7"/>
        <v>185647</v>
      </c>
      <c r="I179" s="65">
        <f>G179-185647</f>
        <v>507780</v>
      </c>
      <c r="J179" s="81">
        <v>33787</v>
      </c>
      <c r="K179" s="80" t="s">
        <v>858</v>
      </c>
      <c r="L179" s="82"/>
    </row>
    <row r="180" spans="1:12" ht="56.25">
      <c r="A180" s="62" t="s">
        <v>737</v>
      </c>
      <c r="B180" s="63" t="s">
        <v>37</v>
      </c>
      <c r="C180" s="63" t="s">
        <v>25</v>
      </c>
      <c r="D180" s="64" t="s">
        <v>623</v>
      </c>
      <c r="E180" s="60">
        <v>1950</v>
      </c>
      <c r="F180" s="60">
        <f>18.5+22</f>
        <v>40.5</v>
      </c>
      <c r="G180" s="65">
        <v>89333</v>
      </c>
      <c r="H180" s="22">
        <f t="shared" si="7"/>
        <v>74679</v>
      </c>
      <c r="I180" s="65">
        <f>G180-74679</f>
        <v>14654</v>
      </c>
      <c r="J180" s="81">
        <v>33787</v>
      </c>
      <c r="K180" s="80" t="s">
        <v>858</v>
      </c>
      <c r="L180" s="82"/>
    </row>
    <row r="181" spans="1:12" ht="56.25">
      <c r="A181" s="62" t="s">
        <v>729</v>
      </c>
      <c r="B181" s="63" t="s">
        <v>37</v>
      </c>
      <c r="C181" s="63" t="s">
        <v>25</v>
      </c>
      <c r="D181" s="64" t="s">
        <v>686</v>
      </c>
      <c r="E181" s="60">
        <v>1981</v>
      </c>
      <c r="F181" s="60">
        <v>50.5</v>
      </c>
      <c r="G181" s="65">
        <v>165826</v>
      </c>
      <c r="H181" s="22">
        <f t="shared" si="7"/>
        <v>131327</v>
      </c>
      <c r="I181" s="65">
        <f>G181-131327</f>
        <v>34499</v>
      </c>
      <c r="J181" s="81">
        <v>33787</v>
      </c>
      <c r="K181" s="80" t="s">
        <v>858</v>
      </c>
      <c r="L181" s="82"/>
    </row>
    <row r="182" spans="1:12" ht="56.25">
      <c r="A182" s="62" t="s">
        <v>731</v>
      </c>
      <c r="B182" s="63" t="s">
        <v>37</v>
      </c>
      <c r="C182" s="63" t="s">
        <v>25</v>
      </c>
      <c r="D182" s="64" t="s">
        <v>624</v>
      </c>
      <c r="E182" s="60">
        <v>1956</v>
      </c>
      <c r="F182" s="60">
        <v>16.5</v>
      </c>
      <c r="G182" s="65">
        <v>28628</v>
      </c>
      <c r="H182" s="22">
        <f t="shared" si="7"/>
        <v>25341</v>
      </c>
      <c r="I182" s="65">
        <f>G182-25341</f>
        <v>3287</v>
      </c>
      <c r="J182" s="81">
        <v>33787</v>
      </c>
      <c r="K182" s="80" t="s">
        <v>858</v>
      </c>
      <c r="L182" s="82"/>
    </row>
    <row r="183" spans="1:12" ht="56.25">
      <c r="A183" s="62" t="s">
        <v>732</v>
      </c>
      <c r="B183" s="63" t="s">
        <v>37</v>
      </c>
      <c r="C183" s="63" t="s">
        <v>25</v>
      </c>
      <c r="D183" s="64" t="s">
        <v>625</v>
      </c>
      <c r="E183" s="60">
        <v>1947</v>
      </c>
      <c r="F183" s="60">
        <v>43.6</v>
      </c>
      <c r="G183" s="65">
        <v>97016</v>
      </c>
      <c r="H183" s="22">
        <f t="shared" si="7"/>
        <v>89972</v>
      </c>
      <c r="I183" s="65">
        <f>G183-89972</f>
        <v>7044</v>
      </c>
      <c r="J183" s="81">
        <v>33787</v>
      </c>
      <c r="K183" s="80" t="s">
        <v>858</v>
      </c>
      <c r="L183" s="82"/>
    </row>
    <row r="184" spans="1:12" ht="56.25">
      <c r="A184" s="62" t="s">
        <v>805</v>
      </c>
      <c r="B184" s="63" t="s">
        <v>37</v>
      </c>
      <c r="C184" s="63" t="s">
        <v>25</v>
      </c>
      <c r="D184" s="64" t="s">
        <v>626</v>
      </c>
      <c r="E184" s="60">
        <v>1967</v>
      </c>
      <c r="F184" s="60">
        <f>30.2+30.8</f>
        <v>61</v>
      </c>
      <c r="G184" s="65">
        <v>39123</v>
      </c>
      <c r="H184" s="22">
        <f t="shared" si="7"/>
        <v>39123</v>
      </c>
      <c r="I184" s="65"/>
      <c r="J184" s="81">
        <v>33787</v>
      </c>
      <c r="K184" s="80" t="s">
        <v>858</v>
      </c>
      <c r="L184" s="82"/>
    </row>
    <row r="185" spans="1:12" ht="56.25">
      <c r="A185" s="62" t="s">
        <v>802</v>
      </c>
      <c r="B185" s="63" t="s">
        <v>37</v>
      </c>
      <c r="C185" s="63" t="s">
        <v>25</v>
      </c>
      <c r="D185" s="64" t="s">
        <v>627</v>
      </c>
      <c r="E185" s="60">
        <v>1973</v>
      </c>
      <c r="F185" s="60">
        <f>38.5+38.4+39.7</f>
        <v>116.60000000000001</v>
      </c>
      <c r="G185" s="65">
        <v>63884</v>
      </c>
      <c r="H185" s="22">
        <f t="shared" si="7"/>
        <v>63884</v>
      </c>
      <c r="I185" s="65"/>
      <c r="J185" s="81">
        <v>33787</v>
      </c>
      <c r="K185" s="80" t="s">
        <v>858</v>
      </c>
      <c r="L185" s="82"/>
    </row>
    <row r="186" spans="1:12" ht="56.25">
      <c r="A186" s="62" t="s">
        <v>803</v>
      </c>
      <c r="B186" s="63" t="s">
        <v>37</v>
      </c>
      <c r="C186" s="63" t="s">
        <v>25</v>
      </c>
      <c r="D186" s="64" t="s">
        <v>628</v>
      </c>
      <c r="E186" s="60">
        <v>1974</v>
      </c>
      <c r="F186" s="60">
        <v>37.799999999999997</v>
      </c>
      <c r="G186" s="65">
        <v>22850</v>
      </c>
      <c r="H186" s="22">
        <f t="shared" si="7"/>
        <v>22850</v>
      </c>
      <c r="I186" s="65"/>
      <c r="J186" s="81">
        <v>33787</v>
      </c>
      <c r="K186" s="80" t="s">
        <v>858</v>
      </c>
      <c r="L186" s="82"/>
    </row>
    <row r="187" spans="1:12" ht="56.25">
      <c r="A187" s="62" t="s">
        <v>804</v>
      </c>
      <c r="B187" s="63" t="s">
        <v>37</v>
      </c>
      <c r="C187" s="63" t="s">
        <v>25</v>
      </c>
      <c r="D187" s="64" t="s">
        <v>629</v>
      </c>
      <c r="E187" s="60">
        <v>1974</v>
      </c>
      <c r="F187" s="60">
        <f>38.9+39.2+38.9</f>
        <v>117</v>
      </c>
      <c r="G187" s="65">
        <v>69575</v>
      </c>
      <c r="H187" s="22">
        <f t="shared" si="7"/>
        <v>69575</v>
      </c>
      <c r="I187" s="65"/>
      <c r="J187" s="81">
        <v>33787</v>
      </c>
      <c r="K187" s="80" t="s">
        <v>858</v>
      </c>
      <c r="L187" s="82"/>
    </row>
    <row r="188" spans="1:12" ht="24" customHeight="1">
      <c r="A188" s="62" t="s">
        <v>733</v>
      </c>
      <c r="B188" s="63" t="s">
        <v>37</v>
      </c>
      <c r="C188" s="63" t="s">
        <v>25</v>
      </c>
      <c r="D188" s="64" t="s">
        <v>630</v>
      </c>
      <c r="E188" s="60">
        <v>1950</v>
      </c>
      <c r="F188" s="60">
        <v>27.4</v>
      </c>
      <c r="G188" s="65">
        <v>59263</v>
      </c>
      <c r="H188" s="22">
        <f t="shared" si="7"/>
        <v>59263</v>
      </c>
      <c r="I188" s="65">
        <f>G188-59263</f>
        <v>0</v>
      </c>
      <c r="J188" s="81">
        <v>33787</v>
      </c>
      <c r="K188" s="80" t="s">
        <v>858</v>
      </c>
      <c r="L188" s="82"/>
    </row>
    <row r="189" spans="1:12" ht="56.25">
      <c r="A189" s="62" t="s">
        <v>820</v>
      </c>
      <c r="B189" s="63" t="s">
        <v>631</v>
      </c>
      <c r="C189" s="63" t="s">
        <v>14</v>
      </c>
      <c r="D189" s="64" t="s">
        <v>632</v>
      </c>
      <c r="E189" s="60">
        <v>1968</v>
      </c>
      <c r="F189" s="60"/>
      <c r="G189" s="65">
        <v>4010550</v>
      </c>
      <c r="H189" s="22">
        <f t="shared" si="7"/>
        <v>2876807</v>
      </c>
      <c r="I189" s="65">
        <v>1133743</v>
      </c>
      <c r="J189" s="81">
        <v>33787</v>
      </c>
      <c r="K189" s="80" t="s">
        <v>858</v>
      </c>
      <c r="L189" s="82"/>
    </row>
    <row r="190" spans="1:12" ht="56.25">
      <c r="A190" s="62" t="s">
        <v>797</v>
      </c>
      <c r="B190" s="63" t="s">
        <v>37</v>
      </c>
      <c r="C190" s="63" t="s">
        <v>25</v>
      </c>
      <c r="D190" s="64" t="s">
        <v>632</v>
      </c>
      <c r="E190" s="60">
        <v>1987</v>
      </c>
      <c r="F190" s="60">
        <f>37.8+37.2+37.8+29.6+44.6+44.6+44.5</f>
        <v>276.10000000000002</v>
      </c>
      <c r="G190" s="65">
        <v>1093474</v>
      </c>
      <c r="H190" s="22">
        <f t="shared" si="7"/>
        <v>1093474</v>
      </c>
      <c r="I190" s="65"/>
      <c r="J190" s="81">
        <v>33787</v>
      </c>
      <c r="K190" s="80" t="s">
        <v>858</v>
      </c>
      <c r="L190" s="82"/>
    </row>
    <row r="191" spans="1:12" ht="56.25">
      <c r="A191" s="62" t="s">
        <v>756</v>
      </c>
      <c r="B191" s="63" t="s">
        <v>37</v>
      </c>
      <c r="C191" s="63" t="s">
        <v>25</v>
      </c>
      <c r="D191" s="64" t="s">
        <v>633</v>
      </c>
      <c r="E191" s="60">
        <v>1960</v>
      </c>
      <c r="F191" s="60">
        <v>21.9</v>
      </c>
      <c r="G191" s="65">
        <v>67832</v>
      </c>
      <c r="H191" s="22">
        <f t="shared" si="7"/>
        <v>67832</v>
      </c>
      <c r="I191" s="65"/>
      <c r="J191" s="81">
        <v>33787</v>
      </c>
      <c r="K191" s="80" t="s">
        <v>858</v>
      </c>
      <c r="L191" s="82"/>
    </row>
    <row r="192" spans="1:12" ht="56.25">
      <c r="A192" s="62" t="s">
        <v>833</v>
      </c>
      <c r="B192" s="63" t="s">
        <v>92</v>
      </c>
      <c r="C192" s="63" t="s">
        <v>25</v>
      </c>
      <c r="D192" s="64" t="s">
        <v>834</v>
      </c>
      <c r="E192" s="60">
        <v>1960</v>
      </c>
      <c r="F192" s="60">
        <v>53.7</v>
      </c>
      <c r="G192" s="65">
        <v>55539</v>
      </c>
      <c r="H192" s="22">
        <f t="shared" si="7"/>
        <v>28089.96</v>
      </c>
      <c r="I192" s="65">
        <v>27449.040000000001</v>
      </c>
      <c r="J192" s="81">
        <v>33787</v>
      </c>
      <c r="K192" s="80" t="s">
        <v>858</v>
      </c>
      <c r="L192" s="82"/>
    </row>
    <row r="193" spans="1:12" ht="56.25">
      <c r="A193" s="62" t="s">
        <v>765</v>
      </c>
      <c r="B193" s="63" t="s">
        <v>37</v>
      </c>
      <c r="C193" s="63" t="s">
        <v>25</v>
      </c>
      <c r="D193" s="64" t="s">
        <v>766</v>
      </c>
      <c r="E193" s="60">
        <v>1959</v>
      </c>
      <c r="F193" s="60">
        <f>49.7+50.5</f>
        <v>100.2</v>
      </c>
      <c r="G193" s="65">
        <v>235923</v>
      </c>
      <c r="H193" s="22">
        <f t="shared" si="7"/>
        <v>235923</v>
      </c>
      <c r="I193" s="65"/>
      <c r="J193" s="81">
        <v>33787</v>
      </c>
      <c r="K193" s="80" t="s">
        <v>858</v>
      </c>
      <c r="L193" s="82"/>
    </row>
    <row r="194" spans="1:12" ht="56.25">
      <c r="A194" s="62" t="s">
        <v>819</v>
      </c>
      <c r="B194" s="63" t="s">
        <v>280</v>
      </c>
      <c r="C194" s="63" t="s">
        <v>11</v>
      </c>
      <c r="D194" s="64" t="s">
        <v>634</v>
      </c>
      <c r="E194" s="60">
        <v>1960</v>
      </c>
      <c r="F194" s="60">
        <v>197.8</v>
      </c>
      <c r="G194" s="65">
        <v>651435</v>
      </c>
      <c r="H194" s="22">
        <f t="shared" si="7"/>
        <v>360447</v>
      </c>
      <c r="I194" s="65">
        <v>290988</v>
      </c>
      <c r="J194" s="81">
        <v>33787</v>
      </c>
      <c r="K194" s="80" t="s">
        <v>858</v>
      </c>
      <c r="L194" s="82"/>
    </row>
    <row r="195" spans="1:12" ht="56.25">
      <c r="A195" s="62" t="s">
        <v>759</v>
      </c>
      <c r="B195" s="63" t="s">
        <v>37</v>
      </c>
      <c r="C195" s="63" t="s">
        <v>25</v>
      </c>
      <c r="D195" s="64" t="s">
        <v>752</v>
      </c>
      <c r="E195" s="60">
        <v>1955</v>
      </c>
      <c r="F195" s="60">
        <f>54.9+42.5</f>
        <v>97.4</v>
      </c>
      <c r="G195" s="65">
        <v>402434</v>
      </c>
      <c r="H195" s="22">
        <f t="shared" si="7"/>
        <v>402434</v>
      </c>
      <c r="I195" s="65"/>
      <c r="J195" s="81">
        <v>33787</v>
      </c>
      <c r="K195" s="80" t="s">
        <v>858</v>
      </c>
      <c r="L195" s="82"/>
    </row>
    <row r="196" spans="1:12" ht="56.25">
      <c r="A196" s="62" t="s">
        <v>755</v>
      </c>
      <c r="B196" s="63" t="s">
        <v>37</v>
      </c>
      <c r="C196" s="63" t="s">
        <v>25</v>
      </c>
      <c r="D196" s="64" t="s">
        <v>635</v>
      </c>
      <c r="E196" s="60">
        <v>1949</v>
      </c>
      <c r="F196" s="60">
        <v>26</v>
      </c>
      <c r="G196" s="65">
        <v>46497</v>
      </c>
      <c r="H196" s="22">
        <f t="shared" si="7"/>
        <v>46497</v>
      </c>
      <c r="I196" s="65"/>
      <c r="J196" s="81">
        <v>33787</v>
      </c>
      <c r="K196" s="80" t="s">
        <v>858</v>
      </c>
      <c r="L196" s="82"/>
    </row>
    <row r="197" spans="1:12" ht="56.25">
      <c r="A197" s="62" t="s">
        <v>751</v>
      </c>
      <c r="B197" s="63" t="s">
        <v>37</v>
      </c>
      <c r="C197" s="63" t="s">
        <v>25</v>
      </c>
      <c r="D197" s="64" t="s">
        <v>636</v>
      </c>
      <c r="E197" s="60">
        <v>1977</v>
      </c>
      <c r="F197" s="60">
        <f>61+44.7</f>
        <v>105.7</v>
      </c>
      <c r="G197" s="65">
        <v>328534</v>
      </c>
      <c r="H197" s="22">
        <f t="shared" si="7"/>
        <v>328534</v>
      </c>
      <c r="I197" s="65"/>
      <c r="J197" s="81">
        <v>33787</v>
      </c>
      <c r="K197" s="80" t="s">
        <v>858</v>
      </c>
      <c r="L197" s="82"/>
    </row>
    <row r="198" spans="1:12" ht="56.25">
      <c r="A198" s="62" t="s">
        <v>754</v>
      </c>
      <c r="B198" s="63" t="s">
        <v>37</v>
      </c>
      <c r="C198" s="63" t="s">
        <v>25</v>
      </c>
      <c r="D198" s="64" t="s">
        <v>637</v>
      </c>
      <c r="E198" s="60">
        <v>1983</v>
      </c>
      <c r="F198" s="60">
        <f>48.1+47.3</f>
        <v>95.4</v>
      </c>
      <c r="G198" s="65">
        <v>735259</v>
      </c>
      <c r="H198" s="22">
        <f t="shared" si="7"/>
        <v>735259</v>
      </c>
      <c r="I198" s="65"/>
      <c r="J198" s="81">
        <v>33787</v>
      </c>
      <c r="K198" s="80" t="s">
        <v>858</v>
      </c>
      <c r="L198" s="82"/>
    </row>
    <row r="199" spans="1:12" ht="56.25">
      <c r="A199" s="62" t="s">
        <v>758</v>
      </c>
      <c r="B199" s="63" t="s">
        <v>37</v>
      </c>
      <c r="C199" s="63" t="s">
        <v>25</v>
      </c>
      <c r="D199" s="64" t="s">
        <v>70</v>
      </c>
      <c r="E199" s="60">
        <v>1985</v>
      </c>
      <c r="F199" s="60">
        <f>40.1+35+39.7+8.6+34+24+24</f>
        <v>205.39999999999998</v>
      </c>
      <c r="G199" s="65"/>
      <c r="H199" s="22">
        <f t="shared" si="7"/>
        <v>0</v>
      </c>
      <c r="I199" s="65"/>
      <c r="J199" s="81">
        <v>33787</v>
      </c>
      <c r="K199" s="80" t="s">
        <v>858</v>
      </c>
      <c r="L199" s="82"/>
    </row>
    <row r="200" spans="1:12" ht="56.25">
      <c r="A200" s="62" t="s">
        <v>831</v>
      </c>
      <c r="B200" s="63" t="s">
        <v>92</v>
      </c>
      <c r="C200" s="63" t="s">
        <v>25</v>
      </c>
      <c r="D200" s="64" t="s">
        <v>832</v>
      </c>
      <c r="E200" s="60">
        <v>1985</v>
      </c>
      <c r="F200" s="60">
        <v>36.799999999999997</v>
      </c>
      <c r="G200" s="65">
        <v>27470.18</v>
      </c>
      <c r="H200" s="22">
        <f t="shared" si="7"/>
        <v>9139.9599999999991</v>
      </c>
      <c r="I200" s="65">
        <v>18330.22</v>
      </c>
      <c r="J200" s="81">
        <v>33787</v>
      </c>
      <c r="K200" s="80" t="s">
        <v>858</v>
      </c>
      <c r="L200" s="82"/>
    </row>
    <row r="201" spans="1:12" ht="56.25">
      <c r="A201" s="62" t="s">
        <v>837</v>
      </c>
      <c r="B201" s="63" t="s">
        <v>92</v>
      </c>
      <c r="C201" s="63" t="s">
        <v>25</v>
      </c>
      <c r="D201" s="64" t="s">
        <v>838</v>
      </c>
      <c r="E201" s="60">
        <v>1985</v>
      </c>
      <c r="F201" s="60">
        <v>34.700000000000003</v>
      </c>
      <c r="G201" s="65">
        <v>924000</v>
      </c>
      <c r="H201" s="22">
        <f t="shared" si="7"/>
        <v>0</v>
      </c>
      <c r="I201" s="65">
        <v>924000</v>
      </c>
      <c r="J201" s="81">
        <v>33787</v>
      </c>
      <c r="K201" s="80" t="s">
        <v>858</v>
      </c>
      <c r="L201" s="82"/>
    </row>
    <row r="202" spans="1:12" ht="56.25">
      <c r="A202" s="62" t="s">
        <v>835</v>
      </c>
      <c r="B202" s="63" t="s">
        <v>92</v>
      </c>
      <c r="C202" s="63" t="s">
        <v>25</v>
      </c>
      <c r="D202" s="64" t="s">
        <v>836</v>
      </c>
      <c r="E202" s="60">
        <v>1985</v>
      </c>
      <c r="F202" s="60">
        <v>37.200000000000003</v>
      </c>
      <c r="G202" s="65">
        <v>924000</v>
      </c>
      <c r="H202" s="22">
        <f t="shared" si="7"/>
        <v>0</v>
      </c>
      <c r="I202" s="65">
        <v>924000</v>
      </c>
      <c r="J202" s="81">
        <v>33787</v>
      </c>
      <c r="K202" s="80" t="s">
        <v>858</v>
      </c>
      <c r="L202" s="82"/>
    </row>
    <row r="203" spans="1:12" ht="56.25">
      <c r="A203" s="62" t="s">
        <v>830</v>
      </c>
      <c r="B203" s="63" t="s">
        <v>92</v>
      </c>
      <c r="C203" s="63" t="s">
        <v>25</v>
      </c>
      <c r="D203" s="64" t="s">
        <v>638</v>
      </c>
      <c r="E203" s="60">
        <v>1985</v>
      </c>
      <c r="F203" s="60">
        <v>35.5</v>
      </c>
      <c r="G203" s="65">
        <v>900000</v>
      </c>
      <c r="H203" s="22">
        <f t="shared" si="7"/>
        <v>0</v>
      </c>
      <c r="I203" s="65">
        <v>900000</v>
      </c>
      <c r="J203" s="81">
        <v>33787</v>
      </c>
      <c r="K203" s="80" t="s">
        <v>858</v>
      </c>
      <c r="L203" s="82"/>
    </row>
    <row r="204" spans="1:12" ht="56.25">
      <c r="A204" s="62" t="s">
        <v>760</v>
      </c>
      <c r="B204" s="63" t="s">
        <v>37</v>
      </c>
      <c r="C204" s="63" t="s">
        <v>25</v>
      </c>
      <c r="D204" s="64" t="s">
        <v>639</v>
      </c>
      <c r="E204" s="60"/>
      <c r="F204" s="60"/>
      <c r="G204" s="65">
        <v>0</v>
      </c>
      <c r="H204" s="22">
        <f t="shared" si="7"/>
        <v>0</v>
      </c>
      <c r="I204" s="65">
        <v>0</v>
      </c>
      <c r="J204" s="81">
        <v>33787</v>
      </c>
      <c r="K204" s="80" t="s">
        <v>858</v>
      </c>
      <c r="L204" s="82"/>
    </row>
    <row r="205" spans="1:12" ht="56.25">
      <c r="A205" s="62" t="s">
        <v>745</v>
      </c>
      <c r="B205" s="63" t="s">
        <v>37</v>
      </c>
      <c r="C205" s="63" t="s">
        <v>25</v>
      </c>
      <c r="D205" s="64" t="s">
        <v>640</v>
      </c>
      <c r="E205" s="60">
        <v>1983</v>
      </c>
      <c r="F205" s="60">
        <f>57.4+48.6+46.4+30.7</f>
        <v>183.1</v>
      </c>
      <c r="G205" s="65">
        <v>892416</v>
      </c>
      <c r="H205" s="22">
        <f t="shared" si="7"/>
        <v>892416</v>
      </c>
      <c r="I205" s="65"/>
      <c r="J205" s="81">
        <v>33787</v>
      </c>
      <c r="K205" s="80" t="s">
        <v>858</v>
      </c>
      <c r="L205" s="82"/>
    </row>
    <row r="206" spans="1:12" ht="56.25">
      <c r="A206" s="62" t="s">
        <v>821</v>
      </c>
      <c r="B206" s="63" t="s">
        <v>92</v>
      </c>
      <c r="C206" s="63" t="s">
        <v>25</v>
      </c>
      <c r="D206" s="6" t="s">
        <v>641</v>
      </c>
      <c r="E206" s="60">
        <v>1983</v>
      </c>
      <c r="F206" s="60"/>
      <c r="G206" s="65">
        <v>180000</v>
      </c>
      <c r="H206" s="22">
        <f t="shared" si="7"/>
        <v>180000</v>
      </c>
      <c r="I206" s="65"/>
      <c r="J206" s="81">
        <v>33787</v>
      </c>
      <c r="K206" s="80" t="s">
        <v>858</v>
      </c>
      <c r="L206" s="82"/>
    </row>
    <row r="207" spans="1:12" ht="56.25">
      <c r="A207" s="62" t="s">
        <v>769</v>
      </c>
      <c r="B207" s="63" t="s">
        <v>37</v>
      </c>
      <c r="C207" s="63" t="s">
        <v>25</v>
      </c>
      <c r="D207" s="64" t="s">
        <v>642</v>
      </c>
      <c r="E207" s="60">
        <v>1983</v>
      </c>
      <c r="F207" s="60">
        <f>66.3+52+33.3</f>
        <v>151.6</v>
      </c>
      <c r="G207" s="65">
        <v>857890</v>
      </c>
      <c r="H207" s="22">
        <f t="shared" si="7"/>
        <v>857890</v>
      </c>
      <c r="I207" s="65"/>
      <c r="J207" s="81">
        <v>33787</v>
      </c>
      <c r="K207" s="80" t="s">
        <v>858</v>
      </c>
      <c r="L207" s="82"/>
    </row>
    <row r="208" spans="1:12" ht="56.25">
      <c r="A208" s="62" t="s">
        <v>829</v>
      </c>
      <c r="B208" s="63" t="s">
        <v>92</v>
      </c>
      <c r="C208" s="63" t="s">
        <v>25</v>
      </c>
      <c r="D208" s="64" t="s">
        <v>753</v>
      </c>
      <c r="E208" s="60">
        <v>1983</v>
      </c>
      <c r="F208" s="60">
        <v>38.9</v>
      </c>
      <c r="G208" s="65">
        <v>700000</v>
      </c>
      <c r="H208" s="22">
        <f t="shared" si="7"/>
        <v>0</v>
      </c>
      <c r="I208" s="65">
        <v>700000</v>
      </c>
      <c r="J208" s="81">
        <v>33787</v>
      </c>
      <c r="K208" s="80" t="s">
        <v>858</v>
      </c>
      <c r="L208" s="82"/>
    </row>
    <row r="209" spans="1:12" ht="56.25">
      <c r="A209" s="62" t="s">
        <v>789</v>
      </c>
      <c r="B209" s="63" t="s">
        <v>37</v>
      </c>
      <c r="C209" s="63" t="s">
        <v>25</v>
      </c>
      <c r="D209" s="64" t="s">
        <v>135</v>
      </c>
      <c r="E209" s="60">
        <v>1989</v>
      </c>
      <c r="F209" s="60">
        <f>47.9+57.2+48.2</f>
        <v>153.30000000000001</v>
      </c>
      <c r="G209" s="65">
        <v>362312</v>
      </c>
      <c r="H209" s="22">
        <f t="shared" si="7"/>
        <v>362312</v>
      </c>
      <c r="I209" s="65"/>
      <c r="J209" s="81">
        <v>33787</v>
      </c>
      <c r="K209" s="80" t="s">
        <v>858</v>
      </c>
      <c r="L209" s="82"/>
    </row>
    <row r="210" spans="1:12" ht="56.25">
      <c r="A210" s="62" t="s">
        <v>764</v>
      </c>
      <c r="B210" s="63" t="s">
        <v>37</v>
      </c>
      <c r="C210" s="63" t="s">
        <v>25</v>
      </c>
      <c r="D210" s="64" t="s">
        <v>643</v>
      </c>
      <c r="E210" s="60">
        <v>1958</v>
      </c>
      <c r="F210" s="60">
        <v>19.3</v>
      </c>
      <c r="G210" s="65">
        <v>325576</v>
      </c>
      <c r="H210" s="22">
        <f t="shared" si="7"/>
        <v>325576</v>
      </c>
      <c r="I210" s="65"/>
      <c r="J210" s="81">
        <v>33787</v>
      </c>
      <c r="K210" s="80" t="s">
        <v>858</v>
      </c>
      <c r="L210" s="82"/>
    </row>
    <row r="211" spans="1:12" ht="56.25">
      <c r="A211" s="62" t="s">
        <v>744</v>
      </c>
      <c r="B211" s="63" t="s">
        <v>37</v>
      </c>
      <c r="C211" s="63" t="s">
        <v>25</v>
      </c>
      <c r="D211" s="64" t="s">
        <v>644</v>
      </c>
      <c r="E211" s="60">
        <v>1956</v>
      </c>
      <c r="F211" s="60">
        <f>55.9+56.1+19.2</f>
        <v>131.19999999999999</v>
      </c>
      <c r="G211" s="65">
        <v>712263</v>
      </c>
      <c r="H211" s="22">
        <f t="shared" si="7"/>
        <v>712263</v>
      </c>
      <c r="I211" s="65"/>
      <c r="J211" s="81">
        <v>33787</v>
      </c>
      <c r="K211" s="80" t="s">
        <v>858</v>
      </c>
      <c r="L211" s="82"/>
    </row>
    <row r="212" spans="1:12" ht="56.25">
      <c r="A212" s="62" t="s">
        <v>743</v>
      </c>
      <c r="B212" s="63" t="s">
        <v>37</v>
      </c>
      <c r="C212" s="63" t="s">
        <v>25</v>
      </c>
      <c r="D212" s="64" t="s">
        <v>645</v>
      </c>
      <c r="E212" s="60">
        <v>1955</v>
      </c>
      <c r="F212" s="60">
        <f>51.5+37.1</f>
        <v>88.6</v>
      </c>
      <c r="G212" s="65">
        <v>239166</v>
      </c>
      <c r="H212" s="22">
        <f t="shared" si="7"/>
        <v>107852</v>
      </c>
      <c r="I212" s="65">
        <f>G212-107852</f>
        <v>131314</v>
      </c>
      <c r="J212" s="81">
        <v>33787</v>
      </c>
      <c r="K212" s="80" t="s">
        <v>858</v>
      </c>
      <c r="L212" s="82"/>
    </row>
    <row r="213" spans="1:12" ht="56.25">
      <c r="A213" s="62" t="s">
        <v>763</v>
      </c>
      <c r="B213" s="63" t="s">
        <v>92</v>
      </c>
      <c r="C213" s="63" t="s">
        <v>25</v>
      </c>
      <c r="D213" s="64" t="s">
        <v>749</v>
      </c>
      <c r="E213" s="60">
        <v>1968</v>
      </c>
      <c r="F213" s="60">
        <f>29.9+52</f>
        <v>81.900000000000006</v>
      </c>
      <c r="G213" s="65">
        <v>330012</v>
      </c>
      <c r="H213" s="22">
        <f t="shared" si="7"/>
        <v>330012</v>
      </c>
      <c r="I213" s="65"/>
      <c r="J213" s="81">
        <v>33787</v>
      </c>
      <c r="K213" s="80" t="s">
        <v>858</v>
      </c>
      <c r="L213" s="82"/>
    </row>
    <row r="214" spans="1:12" ht="56.25">
      <c r="A214" s="62" t="s">
        <v>748</v>
      </c>
      <c r="B214" s="63" t="s">
        <v>37</v>
      </c>
      <c r="C214" s="63" t="s">
        <v>25</v>
      </c>
      <c r="D214" s="64" t="s">
        <v>646</v>
      </c>
      <c r="E214" s="60">
        <v>1967</v>
      </c>
      <c r="F214" s="60">
        <v>52.7</v>
      </c>
      <c r="G214" s="65"/>
      <c r="H214" s="22">
        <f t="shared" si="7"/>
        <v>0</v>
      </c>
      <c r="I214" s="65"/>
      <c r="J214" s="81">
        <v>33787</v>
      </c>
      <c r="K214" s="80" t="s">
        <v>858</v>
      </c>
      <c r="L214" s="82"/>
    </row>
    <row r="215" spans="1:12" ht="56.25">
      <c r="A215" s="62" t="s">
        <v>757</v>
      </c>
      <c r="B215" s="63" t="s">
        <v>37</v>
      </c>
      <c r="C215" s="63" t="s">
        <v>25</v>
      </c>
      <c r="D215" s="64" t="s">
        <v>647</v>
      </c>
      <c r="E215" s="60">
        <v>1968</v>
      </c>
      <c r="F215" s="60">
        <v>31</v>
      </c>
      <c r="G215" s="65">
        <v>63922</v>
      </c>
      <c r="H215" s="22">
        <f t="shared" si="7"/>
        <v>63922</v>
      </c>
      <c r="I215" s="65"/>
      <c r="J215" s="81">
        <v>33787</v>
      </c>
      <c r="K215" s="80" t="s">
        <v>858</v>
      </c>
      <c r="L215" s="82"/>
    </row>
    <row r="216" spans="1:12" ht="56.25">
      <c r="A216" s="62" t="s">
        <v>747</v>
      </c>
      <c r="B216" s="63" t="s">
        <v>37</v>
      </c>
      <c r="C216" s="63" t="s">
        <v>25</v>
      </c>
      <c r="D216" s="64" t="s">
        <v>648</v>
      </c>
      <c r="E216" s="60">
        <v>1968</v>
      </c>
      <c r="F216" s="60">
        <f>30.3+52.8</f>
        <v>83.1</v>
      </c>
      <c r="G216" s="65">
        <v>233012</v>
      </c>
      <c r="H216" s="22">
        <f t="shared" si="7"/>
        <v>233012</v>
      </c>
      <c r="I216" s="65"/>
      <c r="J216" s="81">
        <v>33787</v>
      </c>
      <c r="K216" s="80" t="s">
        <v>858</v>
      </c>
      <c r="L216" s="82"/>
    </row>
    <row r="217" spans="1:12" ht="56.25">
      <c r="A217" s="62" t="s">
        <v>746</v>
      </c>
      <c r="B217" s="63" t="s">
        <v>37</v>
      </c>
      <c r="C217" s="63" t="s">
        <v>25</v>
      </c>
      <c r="D217" s="64" t="s">
        <v>649</v>
      </c>
      <c r="E217" s="60">
        <v>1970</v>
      </c>
      <c r="F217" s="60">
        <f>44.6+32.3</f>
        <v>76.900000000000006</v>
      </c>
      <c r="G217" s="65">
        <v>264951</v>
      </c>
      <c r="H217" s="22">
        <f t="shared" si="7"/>
        <v>264951</v>
      </c>
      <c r="I217" s="65"/>
      <c r="J217" s="81">
        <v>33787</v>
      </c>
      <c r="K217" s="80" t="s">
        <v>858</v>
      </c>
      <c r="L217" s="82"/>
    </row>
    <row r="218" spans="1:12" ht="56.25">
      <c r="A218" s="62" t="s">
        <v>762</v>
      </c>
      <c r="B218" s="63" t="s">
        <v>37</v>
      </c>
      <c r="C218" s="63" t="s">
        <v>25</v>
      </c>
      <c r="D218" s="64" t="s">
        <v>650</v>
      </c>
      <c r="E218" s="60">
        <v>1968</v>
      </c>
      <c r="F218" s="60">
        <f>53+51.9</f>
        <v>104.9</v>
      </c>
      <c r="G218" s="65">
        <v>358548</v>
      </c>
      <c r="H218" s="22">
        <f t="shared" si="7"/>
        <v>358548</v>
      </c>
      <c r="I218" s="65"/>
      <c r="J218" s="81">
        <v>33787</v>
      </c>
      <c r="K218" s="80" t="s">
        <v>858</v>
      </c>
      <c r="L218" s="82"/>
    </row>
    <row r="219" spans="1:12" ht="56.25">
      <c r="A219" s="62" t="s">
        <v>761</v>
      </c>
      <c r="B219" s="63" t="s">
        <v>37</v>
      </c>
      <c r="C219" s="63" t="s">
        <v>25</v>
      </c>
      <c r="D219" s="64" t="s">
        <v>651</v>
      </c>
      <c r="E219" s="60">
        <v>1945</v>
      </c>
      <c r="F219" s="60">
        <v>36.4</v>
      </c>
      <c r="G219" s="65">
        <v>98392</v>
      </c>
      <c r="H219" s="22">
        <f t="shared" si="7"/>
        <v>98392</v>
      </c>
      <c r="I219" s="65"/>
      <c r="J219" s="81">
        <v>33787</v>
      </c>
      <c r="K219" s="80" t="s">
        <v>858</v>
      </c>
      <c r="L219" s="82"/>
    </row>
    <row r="220" spans="1:12" ht="56.25">
      <c r="A220" s="62" t="s">
        <v>750</v>
      </c>
      <c r="B220" s="63" t="s">
        <v>37</v>
      </c>
      <c r="C220" s="63" t="s">
        <v>25</v>
      </c>
      <c r="D220" s="64" t="s">
        <v>652</v>
      </c>
      <c r="E220" s="60">
        <v>1962</v>
      </c>
      <c r="F220" s="60">
        <f>40.7+40.2+41+41.8</f>
        <v>163.69999999999999</v>
      </c>
      <c r="G220" s="65"/>
      <c r="H220" s="22">
        <f t="shared" si="7"/>
        <v>0</v>
      </c>
      <c r="I220" s="65"/>
      <c r="J220" s="81">
        <v>33787</v>
      </c>
      <c r="K220" s="80" t="s">
        <v>858</v>
      </c>
      <c r="L220" s="82"/>
    </row>
    <row r="221" spans="1:12" ht="56.25">
      <c r="A221" s="62" t="s">
        <v>727</v>
      </c>
      <c r="B221" s="63" t="s">
        <v>37</v>
      </c>
      <c r="C221" s="63" t="s">
        <v>25</v>
      </c>
      <c r="D221" s="64" t="s">
        <v>653</v>
      </c>
      <c r="E221" s="60">
        <v>1961</v>
      </c>
      <c r="F221" s="60">
        <f>29.1+38.1</f>
        <v>67.2</v>
      </c>
      <c r="G221" s="65">
        <v>158934</v>
      </c>
      <c r="H221" s="22">
        <f t="shared" ref="H221:H260" si="8">G221-I221</f>
        <v>126753</v>
      </c>
      <c r="I221" s="65">
        <f>G221-126753</f>
        <v>32181</v>
      </c>
      <c r="J221" s="81">
        <v>33787</v>
      </c>
      <c r="K221" s="80" t="s">
        <v>858</v>
      </c>
      <c r="L221" s="82"/>
    </row>
    <row r="222" spans="1:12" ht="56.25">
      <c r="A222" s="62" t="s">
        <v>767</v>
      </c>
      <c r="B222" s="63" t="s">
        <v>37</v>
      </c>
      <c r="C222" s="63" t="s">
        <v>25</v>
      </c>
      <c r="D222" s="64" t="s">
        <v>768</v>
      </c>
      <c r="E222" s="60">
        <v>1947</v>
      </c>
      <c r="F222" s="60">
        <v>29.2</v>
      </c>
      <c r="G222" s="65">
        <v>121248</v>
      </c>
      <c r="H222" s="22">
        <f t="shared" si="8"/>
        <v>121248</v>
      </c>
      <c r="I222" s="65"/>
      <c r="J222" s="81">
        <v>33787</v>
      </c>
      <c r="K222" s="80" t="s">
        <v>858</v>
      </c>
      <c r="L222" s="82"/>
    </row>
    <row r="223" spans="1:12" ht="56.25">
      <c r="A223" s="62" t="s">
        <v>790</v>
      </c>
      <c r="B223" s="63" t="s">
        <v>37</v>
      </c>
      <c r="C223" s="63" t="s">
        <v>25</v>
      </c>
      <c r="D223" s="64" t="s">
        <v>654</v>
      </c>
      <c r="E223" s="60">
        <v>1948</v>
      </c>
      <c r="F223" s="60">
        <f>27.1+34.7+30.8</f>
        <v>92.600000000000009</v>
      </c>
      <c r="G223" s="65">
        <v>1879974</v>
      </c>
      <c r="H223" s="22">
        <f t="shared" si="8"/>
        <v>1879974</v>
      </c>
      <c r="I223" s="65"/>
      <c r="J223" s="81">
        <v>33787</v>
      </c>
      <c r="K223" s="80" t="s">
        <v>858</v>
      </c>
      <c r="L223" s="82"/>
    </row>
    <row r="224" spans="1:12" ht="56.25">
      <c r="A224" s="62" t="s">
        <v>818</v>
      </c>
      <c r="B224" s="63" t="s">
        <v>37</v>
      </c>
      <c r="C224" s="63" t="s">
        <v>25</v>
      </c>
      <c r="D224" s="64" t="s">
        <v>655</v>
      </c>
      <c r="E224" s="60">
        <v>1997</v>
      </c>
      <c r="F224" s="60">
        <v>60.6</v>
      </c>
      <c r="G224" s="65">
        <v>107980</v>
      </c>
      <c r="H224" s="22">
        <f t="shared" si="8"/>
        <v>107980</v>
      </c>
      <c r="I224" s="65"/>
      <c r="J224" s="81">
        <v>33787</v>
      </c>
      <c r="K224" s="80" t="s">
        <v>858</v>
      </c>
      <c r="L224" s="82"/>
    </row>
    <row r="225" spans="1:12" ht="56.25">
      <c r="A225" s="62" t="s">
        <v>825</v>
      </c>
      <c r="B225" s="63" t="s">
        <v>92</v>
      </c>
      <c r="C225" s="63" t="s">
        <v>25</v>
      </c>
      <c r="D225" s="64" t="s">
        <v>826</v>
      </c>
      <c r="E225" s="60">
        <v>1958</v>
      </c>
      <c r="F225" s="60">
        <v>26.2</v>
      </c>
      <c r="G225" s="65">
        <v>87300</v>
      </c>
      <c r="H225" s="22">
        <f t="shared" si="8"/>
        <v>87300</v>
      </c>
      <c r="I225" s="65"/>
      <c r="J225" s="81">
        <v>33787</v>
      </c>
      <c r="K225" s="80" t="s">
        <v>858</v>
      </c>
      <c r="L225" s="82"/>
    </row>
    <row r="226" spans="1:12" ht="56.25">
      <c r="A226" s="62" t="s">
        <v>788</v>
      </c>
      <c r="B226" s="63" t="s">
        <v>37</v>
      </c>
      <c r="C226" s="63" t="s">
        <v>25</v>
      </c>
      <c r="D226" s="64" t="s">
        <v>656</v>
      </c>
      <c r="E226" s="60">
        <v>1968</v>
      </c>
      <c r="F226" s="60">
        <v>47.4</v>
      </c>
      <c r="G226" s="65">
        <v>141759</v>
      </c>
      <c r="H226" s="22">
        <f t="shared" si="8"/>
        <v>141759</v>
      </c>
      <c r="I226" s="65"/>
      <c r="J226" s="81">
        <v>33787</v>
      </c>
      <c r="K226" s="80" t="s">
        <v>858</v>
      </c>
      <c r="L226" s="82"/>
    </row>
    <row r="227" spans="1:12" ht="56.25">
      <c r="A227" s="62" t="s">
        <v>791</v>
      </c>
      <c r="B227" s="63" t="s">
        <v>37</v>
      </c>
      <c r="C227" s="63" t="s">
        <v>25</v>
      </c>
      <c r="D227" s="64" t="s">
        <v>657</v>
      </c>
      <c r="E227" s="60">
        <v>1969</v>
      </c>
      <c r="F227" s="60">
        <f>25.1+30.1+37</f>
        <v>92.2</v>
      </c>
      <c r="G227" s="65">
        <v>399431</v>
      </c>
      <c r="H227" s="22">
        <f t="shared" si="8"/>
        <v>399431</v>
      </c>
      <c r="I227" s="65"/>
      <c r="J227" s="81">
        <v>33787</v>
      </c>
      <c r="K227" s="80" t="s">
        <v>858</v>
      </c>
      <c r="L227" s="82"/>
    </row>
    <row r="228" spans="1:12" ht="56.25">
      <c r="A228" s="62" t="s">
        <v>787</v>
      </c>
      <c r="B228" s="63" t="s">
        <v>37</v>
      </c>
      <c r="C228" s="63" t="s">
        <v>25</v>
      </c>
      <c r="D228" s="64" t="s">
        <v>658</v>
      </c>
      <c r="E228" s="60">
        <v>1954</v>
      </c>
      <c r="F228" s="60">
        <f>46.5+41+51.4</f>
        <v>138.9</v>
      </c>
      <c r="G228" s="65">
        <v>209348</v>
      </c>
      <c r="H228" s="22">
        <f t="shared" si="8"/>
        <v>209348</v>
      </c>
      <c r="I228" s="65"/>
      <c r="J228" s="81">
        <v>33787</v>
      </c>
      <c r="K228" s="80" t="s">
        <v>858</v>
      </c>
      <c r="L228" s="82"/>
    </row>
    <row r="229" spans="1:12" ht="56.25">
      <c r="A229" s="62" t="s">
        <v>786</v>
      </c>
      <c r="B229" s="63" t="s">
        <v>37</v>
      </c>
      <c r="C229" s="63" t="s">
        <v>25</v>
      </c>
      <c r="D229" s="64" t="s">
        <v>659</v>
      </c>
      <c r="E229" s="60">
        <v>1945</v>
      </c>
      <c r="F229" s="60">
        <v>24.5</v>
      </c>
      <c r="G229" s="65">
        <v>50298</v>
      </c>
      <c r="H229" s="22">
        <f t="shared" si="8"/>
        <v>50298</v>
      </c>
      <c r="I229" s="65"/>
      <c r="J229" s="81">
        <v>33787</v>
      </c>
      <c r="K229" s="80" t="s">
        <v>858</v>
      </c>
      <c r="L229" s="82"/>
    </row>
    <row r="230" spans="1:12" ht="56.25">
      <c r="A230" s="62" t="s">
        <v>784</v>
      </c>
      <c r="B230" s="63" t="s">
        <v>37</v>
      </c>
      <c r="C230" s="63" t="s">
        <v>25</v>
      </c>
      <c r="D230" s="64" t="s">
        <v>785</v>
      </c>
      <c r="E230" s="60">
        <v>1946</v>
      </c>
      <c r="F230" s="60">
        <f>32.3+17.2</f>
        <v>49.5</v>
      </c>
      <c r="G230" s="65">
        <v>131936</v>
      </c>
      <c r="H230" s="22">
        <f t="shared" si="8"/>
        <v>131936</v>
      </c>
      <c r="I230" s="65"/>
      <c r="J230" s="81">
        <v>33787</v>
      </c>
      <c r="K230" s="80" t="s">
        <v>858</v>
      </c>
      <c r="L230" s="82"/>
    </row>
    <row r="231" spans="1:12" ht="56.25">
      <c r="A231" s="62" t="s">
        <v>783</v>
      </c>
      <c r="B231" s="63" t="s">
        <v>37</v>
      </c>
      <c r="C231" s="63" t="s">
        <v>25</v>
      </c>
      <c r="D231" s="64" t="s">
        <v>660</v>
      </c>
      <c r="E231" s="60">
        <v>1972</v>
      </c>
      <c r="F231" s="60">
        <f>29.2+35.2+48.1</f>
        <v>112.5</v>
      </c>
      <c r="G231" s="65">
        <v>222894</v>
      </c>
      <c r="H231" s="22">
        <f t="shared" si="8"/>
        <v>222894</v>
      </c>
      <c r="I231" s="65"/>
      <c r="J231" s="81">
        <v>33787</v>
      </c>
      <c r="K231" s="80" t="s">
        <v>858</v>
      </c>
      <c r="L231" s="82"/>
    </row>
    <row r="232" spans="1:12" ht="56.25">
      <c r="A232" s="62" t="s">
        <v>782</v>
      </c>
      <c r="B232" s="63" t="s">
        <v>37</v>
      </c>
      <c r="C232" s="63" t="s">
        <v>25</v>
      </c>
      <c r="D232" s="64" t="s">
        <v>661</v>
      </c>
      <c r="E232" s="60">
        <v>1965</v>
      </c>
      <c r="F232" s="60">
        <v>31.1</v>
      </c>
      <c r="G232" s="65">
        <v>83922</v>
      </c>
      <c r="H232" s="22">
        <f t="shared" si="8"/>
        <v>83922</v>
      </c>
      <c r="I232" s="65"/>
      <c r="J232" s="81">
        <v>33787</v>
      </c>
      <c r="K232" s="80" t="s">
        <v>858</v>
      </c>
      <c r="L232" s="82"/>
    </row>
    <row r="233" spans="1:12" ht="56.25">
      <c r="A233" s="62" t="s">
        <v>809</v>
      </c>
      <c r="B233" s="63" t="s">
        <v>37</v>
      </c>
      <c r="C233" s="63" t="s">
        <v>25</v>
      </c>
      <c r="D233" s="64" t="s">
        <v>662</v>
      </c>
      <c r="E233" s="60">
        <v>1971</v>
      </c>
      <c r="F233" s="60">
        <v>60.4</v>
      </c>
      <c r="G233" s="65">
        <v>170888</v>
      </c>
      <c r="H233" s="22">
        <f t="shared" si="8"/>
        <v>170888</v>
      </c>
      <c r="I233" s="65"/>
      <c r="J233" s="81">
        <v>33787</v>
      </c>
      <c r="K233" s="80" t="s">
        <v>858</v>
      </c>
      <c r="L233" s="82"/>
    </row>
    <row r="234" spans="1:12" ht="56.25">
      <c r="A234" s="62" t="s">
        <v>781</v>
      </c>
      <c r="B234" s="63" t="s">
        <v>37</v>
      </c>
      <c r="C234" s="63" t="s">
        <v>25</v>
      </c>
      <c r="D234" s="64" t="s">
        <v>663</v>
      </c>
      <c r="E234" s="60">
        <v>1975</v>
      </c>
      <c r="F234" s="60">
        <f>34.9+38.1</f>
        <v>73</v>
      </c>
      <c r="G234" s="65">
        <v>171102</v>
      </c>
      <c r="H234" s="22">
        <f t="shared" si="8"/>
        <v>171102</v>
      </c>
      <c r="I234" s="65"/>
      <c r="J234" s="81">
        <v>33787</v>
      </c>
      <c r="K234" s="80" t="s">
        <v>858</v>
      </c>
      <c r="L234" s="82"/>
    </row>
    <row r="235" spans="1:12" ht="56.25">
      <c r="A235" s="62" t="s">
        <v>772</v>
      </c>
      <c r="B235" s="63" t="s">
        <v>37</v>
      </c>
      <c r="C235" s="63" t="s">
        <v>25</v>
      </c>
      <c r="D235" s="64" t="s">
        <v>773</v>
      </c>
      <c r="E235" s="60">
        <v>1980</v>
      </c>
      <c r="F235" s="60">
        <f>30.9+41.9</f>
        <v>72.8</v>
      </c>
      <c r="G235" s="65">
        <v>57202</v>
      </c>
      <c r="H235" s="22">
        <f t="shared" si="8"/>
        <v>57202</v>
      </c>
      <c r="I235" s="65"/>
      <c r="J235" s="81">
        <v>33787</v>
      </c>
      <c r="K235" s="80" t="s">
        <v>858</v>
      </c>
      <c r="L235" s="82"/>
    </row>
    <row r="236" spans="1:12" ht="56.25">
      <c r="A236" s="62" t="s">
        <v>780</v>
      </c>
      <c r="B236" s="63" t="s">
        <v>37</v>
      </c>
      <c r="C236" s="63" t="s">
        <v>25</v>
      </c>
      <c r="D236" s="64" t="s">
        <v>664</v>
      </c>
      <c r="E236" s="60">
        <v>1948</v>
      </c>
      <c r="F236" s="60">
        <f>48.1+45.9</f>
        <v>94</v>
      </c>
      <c r="G236" s="65">
        <v>225306</v>
      </c>
      <c r="H236" s="22">
        <f t="shared" si="8"/>
        <v>225306</v>
      </c>
      <c r="I236" s="65"/>
      <c r="J236" s="81">
        <v>33787</v>
      </c>
      <c r="K236" s="80" t="s">
        <v>858</v>
      </c>
      <c r="L236" s="82"/>
    </row>
    <row r="237" spans="1:12" ht="56.25">
      <c r="A237" s="62" t="s">
        <v>779</v>
      </c>
      <c r="B237" s="63" t="s">
        <v>37</v>
      </c>
      <c r="C237" s="63" t="s">
        <v>25</v>
      </c>
      <c r="D237" s="64" t="s">
        <v>665</v>
      </c>
      <c r="E237" s="60">
        <v>2005</v>
      </c>
      <c r="F237" s="60">
        <f>54.3+57.5</f>
        <v>111.8</v>
      </c>
      <c r="G237" s="65">
        <v>837665</v>
      </c>
      <c r="H237" s="22">
        <f t="shared" si="8"/>
        <v>837665</v>
      </c>
      <c r="I237" s="65"/>
      <c r="J237" s="81">
        <v>33787</v>
      </c>
      <c r="K237" s="80" t="s">
        <v>858</v>
      </c>
      <c r="L237" s="82"/>
    </row>
    <row r="238" spans="1:12" ht="56.25">
      <c r="A238" s="62" t="s">
        <v>778</v>
      </c>
      <c r="B238" s="63" t="s">
        <v>37</v>
      </c>
      <c r="C238" s="63" t="s">
        <v>25</v>
      </c>
      <c r="D238" s="64" t="s">
        <v>666</v>
      </c>
      <c r="E238" s="60">
        <v>1959</v>
      </c>
      <c r="F238" s="60">
        <v>27.5</v>
      </c>
      <c r="G238" s="65">
        <v>62945</v>
      </c>
      <c r="H238" s="22">
        <f t="shared" si="8"/>
        <v>62945</v>
      </c>
      <c r="I238" s="65"/>
      <c r="J238" s="81">
        <v>33787</v>
      </c>
      <c r="K238" s="80" t="s">
        <v>858</v>
      </c>
      <c r="L238" s="82"/>
    </row>
    <row r="239" spans="1:12" ht="56.25">
      <c r="A239" s="62" t="s">
        <v>726</v>
      </c>
      <c r="B239" s="63" t="s">
        <v>37</v>
      </c>
      <c r="C239" s="63" t="s">
        <v>25</v>
      </c>
      <c r="D239" s="64" t="s">
        <v>667</v>
      </c>
      <c r="E239" s="60">
        <v>1959</v>
      </c>
      <c r="F239" s="60">
        <v>25.8</v>
      </c>
      <c r="G239" s="65">
        <v>21389</v>
      </c>
      <c r="H239" s="22">
        <f t="shared" si="8"/>
        <v>20120</v>
      </c>
      <c r="I239" s="65">
        <f>G239-20120</f>
        <v>1269</v>
      </c>
      <c r="J239" s="81">
        <v>33787</v>
      </c>
      <c r="K239" s="80" t="s">
        <v>858</v>
      </c>
      <c r="L239" s="82"/>
    </row>
    <row r="240" spans="1:12" ht="56.25">
      <c r="A240" s="62" t="s">
        <v>739</v>
      </c>
      <c r="B240" s="63" t="s">
        <v>37</v>
      </c>
      <c r="C240" s="63" t="s">
        <v>25</v>
      </c>
      <c r="D240" s="64" t="s">
        <v>668</v>
      </c>
      <c r="E240" s="60">
        <v>1966</v>
      </c>
      <c r="F240" s="60">
        <f>52.4+52.7</f>
        <v>105.1</v>
      </c>
      <c r="G240" s="65">
        <v>386988</v>
      </c>
      <c r="H240" s="22">
        <f t="shared" si="8"/>
        <v>101755</v>
      </c>
      <c r="I240" s="65">
        <f>G240-101755</f>
        <v>285233</v>
      </c>
      <c r="J240" s="81">
        <v>33787</v>
      </c>
      <c r="K240" s="80" t="s">
        <v>858</v>
      </c>
      <c r="L240" s="82"/>
    </row>
    <row r="241" spans="1:12" ht="56.25">
      <c r="A241" s="62" t="s">
        <v>801</v>
      </c>
      <c r="B241" s="63" t="s">
        <v>37</v>
      </c>
      <c r="C241" s="63" t="s">
        <v>25</v>
      </c>
      <c r="D241" s="64" t="s">
        <v>669</v>
      </c>
      <c r="E241" s="60">
        <v>1973</v>
      </c>
      <c r="F241" s="60">
        <f>53.3+45.7+52.8+44.7</f>
        <v>196.5</v>
      </c>
      <c r="G241" s="65">
        <v>184176</v>
      </c>
      <c r="H241" s="22">
        <f t="shared" si="8"/>
        <v>184176</v>
      </c>
      <c r="I241" s="65"/>
      <c r="J241" s="81">
        <v>33787</v>
      </c>
      <c r="K241" s="80" t="s">
        <v>858</v>
      </c>
      <c r="L241" s="82"/>
    </row>
    <row r="242" spans="1:12" ht="56.25">
      <c r="A242" s="62" t="s">
        <v>740</v>
      </c>
      <c r="B242" s="63" t="s">
        <v>37</v>
      </c>
      <c r="C242" s="63" t="s">
        <v>25</v>
      </c>
      <c r="D242" s="64" t="s">
        <v>670</v>
      </c>
      <c r="E242" s="60">
        <v>1958</v>
      </c>
      <c r="F242" s="60">
        <v>30.1</v>
      </c>
      <c r="G242" s="65">
        <v>30357</v>
      </c>
      <c r="H242" s="22">
        <f t="shared" si="8"/>
        <v>30357</v>
      </c>
      <c r="I242" s="65">
        <f>G242-30357</f>
        <v>0</v>
      </c>
      <c r="J242" s="81">
        <v>33787</v>
      </c>
      <c r="K242" s="80" t="s">
        <v>858</v>
      </c>
      <c r="L242" s="82"/>
    </row>
    <row r="243" spans="1:12" ht="56.25">
      <c r="A243" s="62" t="s">
        <v>741</v>
      </c>
      <c r="B243" s="63" t="s">
        <v>37</v>
      </c>
      <c r="C243" s="63" t="s">
        <v>25</v>
      </c>
      <c r="D243" s="64" t="s">
        <v>742</v>
      </c>
      <c r="E243" s="60">
        <v>1963</v>
      </c>
      <c r="F243" s="60">
        <f>45.9+29.6+37.5</f>
        <v>113</v>
      </c>
      <c r="G243" s="65">
        <v>172183</v>
      </c>
      <c r="H243" s="22">
        <f t="shared" si="8"/>
        <v>68997</v>
      </c>
      <c r="I243" s="65">
        <f>G243-68997</f>
        <v>103186</v>
      </c>
      <c r="J243" s="81">
        <v>33787</v>
      </c>
      <c r="K243" s="80" t="s">
        <v>858</v>
      </c>
      <c r="L243" s="82"/>
    </row>
    <row r="244" spans="1:12" ht="56.25">
      <c r="A244" s="62" t="s">
        <v>795</v>
      </c>
      <c r="B244" s="63" t="s">
        <v>37</v>
      </c>
      <c r="C244" s="63" t="s">
        <v>25</v>
      </c>
      <c r="D244" s="64" t="s">
        <v>671</v>
      </c>
      <c r="E244" s="60">
        <v>1995</v>
      </c>
      <c r="F244" s="60">
        <v>60.1</v>
      </c>
      <c r="G244" s="65">
        <v>152775</v>
      </c>
      <c r="H244" s="22">
        <f t="shared" si="8"/>
        <v>152775</v>
      </c>
      <c r="I244" s="65"/>
      <c r="J244" s="81">
        <v>33787</v>
      </c>
      <c r="K244" s="80" t="s">
        <v>858</v>
      </c>
      <c r="L244" s="82"/>
    </row>
    <row r="245" spans="1:12" ht="56.25">
      <c r="A245" s="62" t="s">
        <v>776</v>
      </c>
      <c r="B245" s="63" t="s">
        <v>37</v>
      </c>
      <c r="C245" s="63" t="s">
        <v>25</v>
      </c>
      <c r="D245" s="64" t="s">
        <v>672</v>
      </c>
      <c r="E245" s="60">
        <v>1960</v>
      </c>
      <c r="F245" s="60">
        <v>30.8</v>
      </c>
      <c r="G245" s="65">
        <v>63347</v>
      </c>
      <c r="H245" s="22">
        <f t="shared" si="8"/>
        <v>63347</v>
      </c>
      <c r="I245" s="65"/>
      <c r="J245" s="81">
        <v>33787</v>
      </c>
      <c r="K245" s="80" t="s">
        <v>858</v>
      </c>
      <c r="L245" s="82"/>
    </row>
    <row r="246" spans="1:12" ht="56.25">
      <c r="A246" s="62" t="s">
        <v>775</v>
      </c>
      <c r="B246" s="63" t="s">
        <v>37</v>
      </c>
      <c r="C246" s="63" t="s">
        <v>25</v>
      </c>
      <c r="D246" s="64" t="s">
        <v>673</v>
      </c>
      <c r="E246" s="60">
        <v>1963</v>
      </c>
      <c r="F246" s="60">
        <v>27.2</v>
      </c>
      <c r="G246" s="65">
        <v>28156</v>
      </c>
      <c r="H246" s="22">
        <f t="shared" si="8"/>
        <v>28156</v>
      </c>
      <c r="I246" s="65"/>
      <c r="J246" s="81">
        <v>33787</v>
      </c>
      <c r="K246" s="80" t="s">
        <v>858</v>
      </c>
      <c r="L246" s="82"/>
    </row>
    <row r="247" spans="1:12" ht="56.25">
      <c r="A247" s="62" t="s">
        <v>774</v>
      </c>
      <c r="B247" s="63" t="s">
        <v>37</v>
      </c>
      <c r="C247" s="63" t="s">
        <v>25</v>
      </c>
      <c r="D247" s="64" t="s">
        <v>674</v>
      </c>
      <c r="E247" s="60">
        <v>1963</v>
      </c>
      <c r="F247" s="60">
        <v>31</v>
      </c>
      <c r="G247" s="65">
        <v>72665</v>
      </c>
      <c r="H247" s="22">
        <f t="shared" si="8"/>
        <v>72665</v>
      </c>
      <c r="I247" s="65"/>
      <c r="J247" s="81">
        <v>33787</v>
      </c>
      <c r="K247" s="80" t="s">
        <v>858</v>
      </c>
      <c r="L247" s="82"/>
    </row>
    <row r="248" spans="1:12" ht="56.25">
      <c r="A248" s="62" t="s">
        <v>770</v>
      </c>
      <c r="B248" s="63" t="s">
        <v>37</v>
      </c>
      <c r="C248" s="63" t="s">
        <v>25</v>
      </c>
      <c r="D248" s="64" t="s">
        <v>675</v>
      </c>
      <c r="E248" s="60" t="s">
        <v>676</v>
      </c>
      <c r="F248" s="60">
        <v>54.5</v>
      </c>
      <c r="G248" s="65">
        <v>555949</v>
      </c>
      <c r="H248" s="22">
        <f t="shared" si="8"/>
        <v>555949</v>
      </c>
      <c r="I248" s="65"/>
      <c r="J248" s="81">
        <v>33787</v>
      </c>
      <c r="K248" s="80" t="s">
        <v>858</v>
      </c>
      <c r="L248" s="82"/>
    </row>
    <row r="249" spans="1:12" ht="56.25">
      <c r="A249" s="60"/>
      <c r="B249" s="63" t="s">
        <v>37</v>
      </c>
      <c r="C249" s="63" t="s">
        <v>25</v>
      </c>
      <c r="D249" s="64" t="s">
        <v>677</v>
      </c>
      <c r="E249" s="60">
        <v>1968</v>
      </c>
      <c r="F249" s="60">
        <f>37.7+37.7</f>
        <v>75.400000000000006</v>
      </c>
      <c r="G249" s="65">
        <v>226318</v>
      </c>
      <c r="H249" s="22">
        <f t="shared" si="8"/>
        <v>226318</v>
      </c>
      <c r="I249" s="65"/>
      <c r="J249" s="81">
        <v>33787</v>
      </c>
      <c r="K249" s="80" t="s">
        <v>858</v>
      </c>
      <c r="L249" s="82"/>
    </row>
    <row r="250" spans="1:12" ht="56.25">
      <c r="A250" s="62" t="s">
        <v>728</v>
      </c>
      <c r="B250" s="63" t="s">
        <v>37</v>
      </c>
      <c r="C250" s="63" t="s">
        <v>25</v>
      </c>
      <c r="D250" s="64" t="s">
        <v>678</v>
      </c>
      <c r="E250" s="60"/>
      <c r="F250" s="60">
        <v>38.799999999999997</v>
      </c>
      <c r="G250" s="65">
        <v>370003</v>
      </c>
      <c r="H250" s="22">
        <f t="shared" si="8"/>
        <v>278518</v>
      </c>
      <c r="I250" s="65">
        <f>G250-278518</f>
        <v>91485</v>
      </c>
      <c r="J250" s="81">
        <v>33787</v>
      </c>
      <c r="K250" s="80" t="s">
        <v>858</v>
      </c>
      <c r="L250" s="82"/>
    </row>
    <row r="251" spans="1:12" ht="56.25">
      <c r="A251" s="62" t="s">
        <v>771</v>
      </c>
      <c r="B251" s="63" t="s">
        <v>37</v>
      </c>
      <c r="C251" s="63" t="s">
        <v>25</v>
      </c>
      <c r="D251" s="64" t="s">
        <v>679</v>
      </c>
      <c r="E251" s="60">
        <v>1973</v>
      </c>
      <c r="F251" s="60">
        <f>29.5+30.1+27.7+56.2-30.1</f>
        <v>113.4</v>
      </c>
      <c r="G251" s="65">
        <f>382341-82262</f>
        <v>300079</v>
      </c>
      <c r="H251" s="22">
        <f t="shared" si="8"/>
        <v>300079</v>
      </c>
      <c r="I251" s="65"/>
      <c r="J251" s="81">
        <v>33787</v>
      </c>
      <c r="K251" s="80" t="s">
        <v>858</v>
      </c>
      <c r="L251" s="82"/>
    </row>
    <row r="252" spans="1:12" ht="56.25">
      <c r="A252" s="62" t="s">
        <v>792</v>
      </c>
      <c r="B252" s="63" t="s">
        <v>37</v>
      </c>
      <c r="C252" s="63" t="s">
        <v>25</v>
      </c>
      <c r="D252" s="64" t="s">
        <v>680</v>
      </c>
      <c r="E252" s="60">
        <v>1973</v>
      </c>
      <c r="F252" s="60">
        <f>30.3+50.6</f>
        <v>80.900000000000006</v>
      </c>
      <c r="G252" s="65">
        <v>358872</v>
      </c>
      <c r="H252" s="22">
        <f t="shared" si="8"/>
        <v>358872</v>
      </c>
      <c r="I252" s="65"/>
      <c r="J252" s="81">
        <v>33787</v>
      </c>
      <c r="K252" s="80" t="s">
        <v>858</v>
      </c>
      <c r="L252" s="82"/>
    </row>
    <row r="253" spans="1:12" ht="56.25">
      <c r="A253" s="62" t="s">
        <v>806</v>
      </c>
      <c r="B253" s="63" t="s">
        <v>37</v>
      </c>
      <c r="C253" s="63" t="s">
        <v>25</v>
      </c>
      <c r="D253" s="64" t="s">
        <v>681</v>
      </c>
      <c r="E253" s="60">
        <v>1973</v>
      </c>
      <c r="F253" s="60">
        <f>31+31.3</f>
        <v>62.3</v>
      </c>
      <c r="G253" s="65">
        <v>113225</v>
      </c>
      <c r="H253" s="22">
        <f t="shared" si="8"/>
        <v>113225</v>
      </c>
      <c r="I253" s="65"/>
      <c r="J253" s="81">
        <v>33787</v>
      </c>
      <c r="K253" s="80" t="s">
        <v>858</v>
      </c>
      <c r="L253" s="82"/>
    </row>
    <row r="254" spans="1:12" ht="56.25">
      <c r="A254" s="62" t="s">
        <v>793</v>
      </c>
      <c r="B254" s="63" t="s">
        <v>37</v>
      </c>
      <c r="C254" s="63" t="s">
        <v>25</v>
      </c>
      <c r="D254" s="64" t="s">
        <v>682</v>
      </c>
      <c r="E254" s="60">
        <v>1973</v>
      </c>
      <c r="F254" s="60">
        <f>29.3+24.3+41.8</f>
        <v>95.4</v>
      </c>
      <c r="G254" s="65">
        <v>428309</v>
      </c>
      <c r="H254" s="22">
        <f t="shared" si="8"/>
        <v>428309</v>
      </c>
      <c r="I254" s="65"/>
      <c r="J254" s="81">
        <v>33787</v>
      </c>
      <c r="K254" s="80" t="s">
        <v>858</v>
      </c>
      <c r="L254" s="82"/>
    </row>
    <row r="255" spans="1:12" ht="56.25">
      <c r="A255" s="62" t="s">
        <v>807</v>
      </c>
      <c r="B255" s="63" t="s">
        <v>37</v>
      </c>
      <c r="C255" s="63" t="s">
        <v>25</v>
      </c>
      <c r="D255" s="64" t="s">
        <v>808</v>
      </c>
      <c r="E255" s="60">
        <v>1977</v>
      </c>
      <c r="F255" s="60">
        <f>43.3+43.6</f>
        <v>86.9</v>
      </c>
      <c r="G255" s="65">
        <v>136794</v>
      </c>
      <c r="H255" s="22">
        <f t="shared" si="8"/>
        <v>136794</v>
      </c>
      <c r="I255" s="65"/>
      <c r="J255" s="81">
        <v>33787</v>
      </c>
      <c r="K255" s="80" t="s">
        <v>858</v>
      </c>
      <c r="L255" s="82"/>
    </row>
    <row r="256" spans="1:12" ht="56.25">
      <c r="A256" s="60"/>
      <c r="B256" s="63" t="s">
        <v>37</v>
      </c>
      <c r="C256" s="63" t="s">
        <v>25</v>
      </c>
      <c r="D256" s="64" t="s">
        <v>683</v>
      </c>
      <c r="E256" s="60">
        <v>1978</v>
      </c>
      <c r="F256" s="60">
        <v>68.8</v>
      </c>
      <c r="G256" s="65">
        <v>282329</v>
      </c>
      <c r="H256" s="22">
        <f t="shared" si="8"/>
        <v>282329</v>
      </c>
      <c r="I256" s="65"/>
      <c r="J256" s="81">
        <v>33787</v>
      </c>
      <c r="K256" s="80" t="s">
        <v>858</v>
      </c>
      <c r="L256" s="82"/>
    </row>
    <row r="257" spans="1:12" ht="56.25">
      <c r="A257" s="62" t="s">
        <v>796</v>
      </c>
      <c r="B257" s="63" t="s">
        <v>684</v>
      </c>
      <c r="C257" s="63" t="s">
        <v>25</v>
      </c>
      <c r="D257" s="64" t="s">
        <v>685</v>
      </c>
      <c r="E257" s="60"/>
      <c r="F257" s="60"/>
      <c r="G257" s="65">
        <v>1093474</v>
      </c>
      <c r="H257" s="22">
        <f t="shared" si="8"/>
        <v>1093474</v>
      </c>
      <c r="I257" s="65"/>
      <c r="J257" s="81">
        <v>33787</v>
      </c>
      <c r="K257" s="80" t="s">
        <v>858</v>
      </c>
      <c r="L257" s="82"/>
    </row>
    <row r="258" spans="1:12" s="85" customFormat="1" ht="67.5">
      <c r="A258" s="84"/>
      <c r="B258" s="73" t="s">
        <v>92</v>
      </c>
      <c r="C258" s="73" t="s">
        <v>25</v>
      </c>
      <c r="D258" s="74" t="s">
        <v>547</v>
      </c>
      <c r="E258" s="75"/>
      <c r="F258" s="75">
        <v>45.3</v>
      </c>
      <c r="G258" s="76">
        <v>500000</v>
      </c>
      <c r="H258" s="65">
        <f t="shared" si="8"/>
        <v>0</v>
      </c>
      <c r="I258" s="76">
        <v>500000</v>
      </c>
      <c r="J258" s="81">
        <v>41177</v>
      </c>
      <c r="K258" s="80" t="s">
        <v>860</v>
      </c>
      <c r="L258" s="89"/>
    </row>
    <row r="259" spans="1:12" ht="56.25">
      <c r="A259" s="62"/>
      <c r="B259" s="63" t="s">
        <v>37</v>
      </c>
      <c r="C259" s="63" t="s">
        <v>25</v>
      </c>
      <c r="D259" s="64" t="s">
        <v>685</v>
      </c>
      <c r="E259" s="60">
        <v>1986</v>
      </c>
      <c r="F259" s="60"/>
      <c r="G259" s="65">
        <v>0</v>
      </c>
      <c r="H259" s="65">
        <f t="shared" si="8"/>
        <v>0</v>
      </c>
      <c r="I259" s="65">
        <v>0</v>
      </c>
      <c r="J259" s="81">
        <v>33787</v>
      </c>
      <c r="K259" s="80" t="s">
        <v>858</v>
      </c>
      <c r="L259" s="82"/>
    </row>
    <row r="260" spans="1:12" s="85" customFormat="1" ht="78.75">
      <c r="A260" s="84"/>
      <c r="B260" s="73" t="s">
        <v>92</v>
      </c>
      <c r="C260" s="73" t="s">
        <v>25</v>
      </c>
      <c r="D260" s="64" t="s">
        <v>840</v>
      </c>
      <c r="E260" s="75"/>
      <c r="F260" s="75">
        <v>30.2</v>
      </c>
      <c r="G260" s="76">
        <v>18220</v>
      </c>
      <c r="H260" s="65">
        <f t="shared" si="8"/>
        <v>18220</v>
      </c>
      <c r="I260" s="76">
        <v>0</v>
      </c>
      <c r="J260" s="81">
        <v>40946</v>
      </c>
      <c r="K260" s="80" t="s">
        <v>861</v>
      </c>
      <c r="L260" s="89"/>
    </row>
    <row r="261" spans="1:12">
      <c r="A261" s="35"/>
      <c r="B261" s="36" t="s">
        <v>476</v>
      </c>
      <c r="C261" s="36">
        <f>260-155</f>
        <v>105</v>
      </c>
      <c r="D261" s="36" t="s">
        <v>474</v>
      </c>
      <c r="E261" s="37"/>
      <c r="F261" s="37">
        <f>F194</f>
        <v>197.8</v>
      </c>
      <c r="G261" s="38">
        <f>SUM(G242:G260)</f>
        <v>4903055</v>
      </c>
      <c r="H261" s="38">
        <f>SUM(H242:H260)</f>
        <v>4208384</v>
      </c>
      <c r="I261" s="38">
        <f>SUM(I242:I260)</f>
        <v>694671</v>
      </c>
      <c r="J261" s="81"/>
      <c r="K261" s="80"/>
      <c r="L261" s="82"/>
    </row>
    <row r="265" spans="1:12">
      <c r="B265" s="82" t="s">
        <v>899</v>
      </c>
      <c r="C265" s="92">
        <f>C12+C21+C110+C117+C125+C146+C151+C261</f>
        <v>225</v>
      </c>
      <c r="D265" s="91"/>
      <c r="E265" s="82"/>
      <c r="F265" s="37">
        <f>F12+F21+F110+F117+F125+F146+F151+F261</f>
        <v>23497.54</v>
      </c>
      <c r="G265" s="94">
        <f>G12+G21+G110+G117+G125+G146+G151+G261</f>
        <v>76908931.280000001</v>
      </c>
      <c r="H265" s="79">
        <f t="shared" ref="H265:I265" si="9">H12+H21+H110+H117+H125+H146+H151+H261</f>
        <v>36091451.859999999</v>
      </c>
      <c r="I265" s="79">
        <f t="shared" si="9"/>
        <v>40817479.420000002</v>
      </c>
      <c r="J265" s="82"/>
      <c r="K265" s="82"/>
      <c r="L265" s="82"/>
    </row>
  </sheetData>
  <mergeCells count="9">
    <mergeCell ref="A154:I154"/>
    <mergeCell ref="A4:I4"/>
    <mergeCell ref="A2:I2"/>
    <mergeCell ref="A127:I127"/>
    <mergeCell ref="A15:I15"/>
    <mergeCell ref="A148:I148"/>
    <mergeCell ref="A23:I23"/>
    <mergeCell ref="A112:I112"/>
    <mergeCell ref="A119:I119"/>
  </mergeCells>
  <pageMargins left="0.43307086614173229" right="0.31496062992125984" top="0.46" bottom="0.31496062992125984" header="0.25" footer="0.23622047244094491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4"/>
  <sheetViews>
    <sheetView tabSelected="1" topLeftCell="A88" workbookViewId="0">
      <selection activeCell="C90" sqref="C90"/>
    </sheetView>
  </sheetViews>
  <sheetFormatPr defaultRowHeight="12.75"/>
  <cols>
    <col min="1" max="1" width="11.28515625" style="30" customWidth="1"/>
    <col min="2" max="2" width="19.140625" style="30" customWidth="1"/>
    <col min="3" max="3" width="18" style="30" customWidth="1"/>
    <col min="4" max="4" width="34.42578125" style="30" customWidth="1"/>
    <col min="5" max="5" width="9.140625" style="30"/>
    <col min="6" max="6" width="12.42578125" style="44" customWidth="1"/>
    <col min="7" max="9" width="14.7109375" style="30" customWidth="1"/>
    <col min="10" max="10" width="14.28515625" style="30" customWidth="1"/>
    <col min="11" max="11" width="22" style="30" customWidth="1"/>
    <col min="12" max="12" width="28" style="30" customWidth="1"/>
    <col min="13" max="16384" width="9.140625" style="30"/>
  </cols>
  <sheetData>
    <row r="1" spans="1:12" ht="38.25" customHeight="1">
      <c r="G1" s="107" t="s">
        <v>938</v>
      </c>
      <c r="H1" s="107"/>
      <c r="I1" s="107"/>
      <c r="J1" s="107"/>
      <c r="K1" s="107"/>
    </row>
    <row r="2" spans="1:12">
      <c r="A2" s="106" t="s">
        <v>0</v>
      </c>
      <c r="B2" s="106"/>
      <c r="C2" s="106"/>
      <c r="D2" s="106"/>
    </row>
    <row r="3" spans="1:12">
      <c r="A3" s="106" t="s">
        <v>937</v>
      </c>
      <c r="B3" s="106"/>
      <c r="C3" s="106"/>
      <c r="D3" s="106"/>
    </row>
    <row r="4" spans="1:12">
      <c r="B4" s="99" t="s">
        <v>949</v>
      </c>
      <c r="C4" s="99"/>
      <c r="D4" s="99"/>
    </row>
    <row r="6" spans="1:12" s="43" customFormat="1" ht="45">
      <c r="A6" s="8" t="s">
        <v>1</v>
      </c>
      <c r="B6" s="8" t="s">
        <v>2</v>
      </c>
      <c r="C6" s="8" t="s">
        <v>3</v>
      </c>
      <c r="D6" s="8" t="s">
        <v>4</v>
      </c>
      <c r="E6" s="45" t="s">
        <v>5</v>
      </c>
      <c r="F6" s="2" t="s">
        <v>6</v>
      </c>
      <c r="G6" s="47" t="s">
        <v>7</v>
      </c>
      <c r="H6" s="2" t="s">
        <v>844</v>
      </c>
      <c r="I6" s="8" t="s">
        <v>8</v>
      </c>
      <c r="J6" s="3" t="s">
        <v>857</v>
      </c>
      <c r="K6" s="3" t="s">
        <v>856</v>
      </c>
      <c r="L6" s="3" t="s">
        <v>885</v>
      </c>
    </row>
    <row r="7" spans="1:12" ht="45">
      <c r="A7" s="10" t="s">
        <v>345</v>
      </c>
      <c r="B7" s="11" t="s">
        <v>346</v>
      </c>
      <c r="C7" s="11" t="s">
        <v>14</v>
      </c>
      <c r="D7" s="12" t="s">
        <v>347</v>
      </c>
      <c r="E7" s="45">
        <v>1972</v>
      </c>
      <c r="F7" s="31">
        <v>171.4</v>
      </c>
      <c r="G7" s="48">
        <v>17748</v>
      </c>
      <c r="H7" s="22">
        <f>G7-I7</f>
        <v>17748</v>
      </c>
      <c r="I7" s="13">
        <v>0</v>
      </c>
      <c r="J7" s="81">
        <v>37445</v>
      </c>
      <c r="K7" s="80" t="s">
        <v>871</v>
      </c>
      <c r="L7" s="78"/>
    </row>
    <row r="8" spans="1:12" ht="56.25">
      <c r="A8" s="10" t="s">
        <v>349</v>
      </c>
      <c r="B8" s="11" t="s">
        <v>37</v>
      </c>
      <c r="C8" s="11" t="s">
        <v>37</v>
      </c>
      <c r="D8" s="12" t="s">
        <v>350</v>
      </c>
      <c r="E8" s="45">
        <v>1964</v>
      </c>
      <c r="F8" s="31"/>
      <c r="G8" s="48">
        <v>15.3</v>
      </c>
      <c r="H8" s="22">
        <f t="shared" ref="H8:H69" si="0">G8-I8</f>
        <v>15.3</v>
      </c>
      <c r="I8" s="13">
        <v>0</v>
      </c>
      <c r="J8" s="81">
        <v>33787</v>
      </c>
      <c r="K8" s="80" t="s">
        <v>858</v>
      </c>
      <c r="L8" s="31"/>
    </row>
    <row r="9" spans="1:12" ht="56.25">
      <c r="A9" s="10" t="s">
        <v>351</v>
      </c>
      <c r="B9" s="11" t="s">
        <v>352</v>
      </c>
      <c r="C9" s="11" t="s">
        <v>14</v>
      </c>
      <c r="D9" s="12" t="s">
        <v>350</v>
      </c>
      <c r="E9" s="45">
        <v>1964</v>
      </c>
      <c r="F9" s="31"/>
      <c r="G9" s="48">
        <v>1918.62</v>
      </c>
      <c r="H9" s="22">
        <f t="shared" si="0"/>
        <v>1918.62</v>
      </c>
      <c r="I9" s="13">
        <v>0</v>
      </c>
      <c r="J9" s="81">
        <v>33787</v>
      </c>
      <c r="K9" s="80" t="s">
        <v>858</v>
      </c>
      <c r="L9" s="31"/>
    </row>
    <row r="10" spans="1:12" ht="45.75" customHeight="1">
      <c r="A10" s="10" t="s">
        <v>353</v>
      </c>
      <c r="B10" s="11" t="s">
        <v>354</v>
      </c>
      <c r="C10" s="11" t="s">
        <v>14</v>
      </c>
      <c r="D10" s="12" t="s">
        <v>232</v>
      </c>
      <c r="E10" s="45">
        <v>1890</v>
      </c>
      <c r="F10" s="31">
        <v>636.4</v>
      </c>
      <c r="G10" s="48">
        <v>1088772.48</v>
      </c>
      <c r="H10" s="22">
        <f t="shared" si="0"/>
        <v>1088772.48</v>
      </c>
      <c r="I10" s="13">
        <v>0</v>
      </c>
      <c r="J10" s="81">
        <v>33787</v>
      </c>
      <c r="K10" s="80" t="s">
        <v>858</v>
      </c>
      <c r="L10" s="31"/>
    </row>
    <row r="11" spans="1:12" ht="51.75" customHeight="1">
      <c r="A11" s="10" t="s">
        <v>355</v>
      </c>
      <c r="B11" s="11" t="s">
        <v>356</v>
      </c>
      <c r="C11" s="11" t="s">
        <v>14</v>
      </c>
      <c r="D11" s="12" t="s">
        <v>232</v>
      </c>
      <c r="E11" s="45">
        <v>1890</v>
      </c>
      <c r="F11" s="31">
        <v>295.8</v>
      </c>
      <c r="G11" s="48">
        <v>233963.01</v>
      </c>
      <c r="H11" s="22">
        <f t="shared" si="0"/>
        <v>233963.01</v>
      </c>
      <c r="I11" s="13">
        <v>0</v>
      </c>
      <c r="J11" s="81">
        <v>33787</v>
      </c>
      <c r="K11" s="80" t="s">
        <v>858</v>
      </c>
      <c r="L11" s="31"/>
    </row>
    <row r="12" spans="1:12" ht="48.75" customHeight="1">
      <c r="A12" s="10" t="s">
        <v>357</v>
      </c>
      <c r="B12" s="11" t="s">
        <v>358</v>
      </c>
      <c r="C12" s="11" t="s">
        <v>14</v>
      </c>
      <c r="D12" s="12" t="s">
        <v>232</v>
      </c>
      <c r="E12" s="45">
        <v>1890</v>
      </c>
      <c r="F12" s="31">
        <v>103</v>
      </c>
      <c r="G12" s="48">
        <v>53932.5</v>
      </c>
      <c r="H12" s="22">
        <f t="shared" si="0"/>
        <v>53932.5</v>
      </c>
      <c r="I12" s="13">
        <v>0</v>
      </c>
      <c r="J12" s="81">
        <v>33787</v>
      </c>
      <c r="K12" s="80" t="s">
        <v>858</v>
      </c>
      <c r="L12" s="31"/>
    </row>
    <row r="13" spans="1:12" ht="48.75" customHeight="1">
      <c r="A13" s="10" t="s">
        <v>359</v>
      </c>
      <c r="B13" s="11" t="s">
        <v>37</v>
      </c>
      <c r="C13" s="11" t="s">
        <v>37</v>
      </c>
      <c r="D13" s="12" t="s">
        <v>348</v>
      </c>
      <c r="E13" s="45">
        <v>1976</v>
      </c>
      <c r="F13" s="31"/>
      <c r="G13" s="48">
        <v>359699.94</v>
      </c>
      <c r="H13" s="22">
        <f>G13-I13</f>
        <v>306675.13</v>
      </c>
      <c r="I13" s="13">
        <v>53024.81</v>
      </c>
      <c r="J13" s="81">
        <v>33787</v>
      </c>
      <c r="K13" s="80" t="s">
        <v>858</v>
      </c>
      <c r="L13" s="31"/>
    </row>
    <row r="14" spans="1:12" ht="56.25">
      <c r="A14" s="10" t="s">
        <v>360</v>
      </c>
      <c r="B14" s="11" t="s">
        <v>37</v>
      </c>
      <c r="C14" s="11" t="s">
        <v>37</v>
      </c>
      <c r="D14" s="12" t="s">
        <v>50</v>
      </c>
      <c r="E14" s="45">
        <v>1959</v>
      </c>
      <c r="F14" s="31">
        <v>63.9</v>
      </c>
      <c r="G14" s="48">
        <v>35688.78</v>
      </c>
      <c r="H14" s="22">
        <f t="shared" si="0"/>
        <v>35688.78</v>
      </c>
      <c r="I14" s="13">
        <v>0</v>
      </c>
      <c r="J14" s="81">
        <v>33787</v>
      </c>
      <c r="K14" s="80" t="s">
        <v>858</v>
      </c>
      <c r="L14" s="31"/>
    </row>
    <row r="15" spans="1:12" ht="56.25">
      <c r="A15" s="10" t="s">
        <v>361</v>
      </c>
      <c r="B15" s="11" t="s">
        <v>918</v>
      </c>
      <c r="C15" s="11" t="s">
        <v>14</v>
      </c>
      <c r="D15" s="12" t="s">
        <v>922</v>
      </c>
      <c r="E15" s="45">
        <v>1928</v>
      </c>
      <c r="F15" s="31">
        <v>48</v>
      </c>
      <c r="G15" s="48">
        <v>405361.26</v>
      </c>
      <c r="H15" s="22">
        <f t="shared" si="0"/>
        <v>405361.26</v>
      </c>
      <c r="I15" s="13">
        <v>0</v>
      </c>
      <c r="J15" s="81">
        <v>33787</v>
      </c>
      <c r="K15" s="80" t="s">
        <v>858</v>
      </c>
      <c r="L15" s="31"/>
    </row>
    <row r="16" spans="1:12" ht="48.75" customHeight="1">
      <c r="A16" s="10" t="s">
        <v>362</v>
      </c>
      <c r="B16" s="11" t="s">
        <v>363</v>
      </c>
      <c r="C16" s="11" t="s">
        <v>14</v>
      </c>
      <c r="D16" s="12" t="s">
        <v>364</v>
      </c>
      <c r="E16" s="45">
        <v>1995</v>
      </c>
      <c r="F16" s="31"/>
      <c r="G16" s="48">
        <v>228035.79</v>
      </c>
      <c r="H16" s="22">
        <f t="shared" si="0"/>
        <v>148036.91</v>
      </c>
      <c r="I16" s="13">
        <f>G16-136635.12-11401.79</f>
        <v>79998.880000000005</v>
      </c>
      <c r="J16" s="81">
        <v>33787</v>
      </c>
      <c r="K16" s="80" t="s">
        <v>858</v>
      </c>
      <c r="L16" s="31"/>
    </row>
    <row r="17" spans="1:12" ht="45" customHeight="1">
      <c r="A17" s="10" t="s">
        <v>365</v>
      </c>
      <c r="B17" s="11" t="s">
        <v>366</v>
      </c>
      <c r="C17" s="11" t="s">
        <v>14</v>
      </c>
      <c r="D17" s="12" t="s">
        <v>367</v>
      </c>
      <c r="E17" s="45">
        <v>1990</v>
      </c>
      <c r="F17" s="31"/>
      <c r="G17" s="48">
        <v>3589614.09</v>
      </c>
      <c r="H17" s="22">
        <f t="shared" si="0"/>
        <v>1635187.59</v>
      </c>
      <c r="I17" s="13">
        <f>G17-1563395.31-71792.28</f>
        <v>1954426.4999999998</v>
      </c>
      <c r="J17" s="81">
        <v>33787</v>
      </c>
      <c r="K17" s="80" t="s">
        <v>858</v>
      </c>
      <c r="L17" s="31"/>
    </row>
    <row r="18" spans="1:12" ht="48.75" customHeight="1">
      <c r="A18" s="10" t="s">
        <v>368</v>
      </c>
      <c r="B18" s="11" t="s">
        <v>92</v>
      </c>
      <c r="C18" s="11" t="s">
        <v>37</v>
      </c>
      <c r="D18" s="12" t="s">
        <v>369</v>
      </c>
      <c r="E18" s="45">
        <v>1963</v>
      </c>
      <c r="F18" s="31"/>
      <c r="G18" s="48">
        <v>0</v>
      </c>
      <c r="H18" s="22">
        <f t="shared" si="0"/>
        <v>0</v>
      </c>
      <c r="I18" s="13">
        <v>0</v>
      </c>
      <c r="J18" s="81">
        <v>33787</v>
      </c>
      <c r="K18" s="80" t="s">
        <v>858</v>
      </c>
      <c r="L18" s="31"/>
    </row>
    <row r="19" spans="1:12" ht="56.25">
      <c r="A19" s="10" t="s">
        <v>370</v>
      </c>
      <c r="B19" s="11" t="s">
        <v>37</v>
      </c>
      <c r="C19" s="11" t="s">
        <v>37</v>
      </c>
      <c r="D19" s="12" t="s">
        <v>371</v>
      </c>
      <c r="E19" s="45">
        <v>1952</v>
      </c>
      <c r="F19" s="31"/>
      <c r="G19" s="48">
        <v>0</v>
      </c>
      <c r="H19" s="22">
        <f t="shared" si="0"/>
        <v>0</v>
      </c>
      <c r="I19" s="13">
        <v>0</v>
      </c>
      <c r="J19" s="81">
        <v>33787</v>
      </c>
      <c r="K19" s="80" t="s">
        <v>858</v>
      </c>
      <c r="L19" s="31"/>
    </row>
    <row r="20" spans="1:12" ht="46.5" customHeight="1">
      <c r="A20" s="10" t="s">
        <v>372</v>
      </c>
      <c r="B20" s="11" t="s">
        <v>92</v>
      </c>
      <c r="C20" s="11" t="s">
        <v>37</v>
      </c>
      <c r="D20" s="12" t="s">
        <v>373</v>
      </c>
      <c r="E20" s="45">
        <v>1987</v>
      </c>
      <c r="F20" s="31"/>
      <c r="G20" s="48">
        <v>0</v>
      </c>
      <c r="H20" s="22">
        <f t="shared" si="0"/>
        <v>0</v>
      </c>
      <c r="I20" s="13">
        <v>0</v>
      </c>
      <c r="J20" s="81">
        <v>33787</v>
      </c>
      <c r="K20" s="80" t="s">
        <v>858</v>
      </c>
      <c r="L20" s="31"/>
    </row>
    <row r="21" spans="1:12" ht="49.5" customHeight="1">
      <c r="A21" s="10" t="s">
        <v>374</v>
      </c>
      <c r="B21" s="11" t="s">
        <v>37</v>
      </c>
      <c r="C21" s="11" t="s">
        <v>37</v>
      </c>
      <c r="D21" s="12" t="s">
        <v>375</v>
      </c>
      <c r="E21" s="45">
        <v>1987</v>
      </c>
      <c r="F21" s="31"/>
      <c r="G21" s="48">
        <v>0</v>
      </c>
      <c r="H21" s="22">
        <f t="shared" si="0"/>
        <v>0</v>
      </c>
      <c r="I21" s="13">
        <v>0</v>
      </c>
      <c r="J21" s="81">
        <v>33787</v>
      </c>
      <c r="K21" s="80" t="s">
        <v>858</v>
      </c>
      <c r="L21" s="31"/>
    </row>
    <row r="22" spans="1:12" ht="49.5" customHeight="1">
      <c r="A22" s="10" t="s">
        <v>374</v>
      </c>
      <c r="B22" s="11" t="s">
        <v>37</v>
      </c>
      <c r="C22" s="11" t="s">
        <v>37</v>
      </c>
      <c r="D22" s="12" t="s">
        <v>376</v>
      </c>
      <c r="E22" s="45">
        <v>1987</v>
      </c>
      <c r="F22" s="31"/>
      <c r="G22" s="48">
        <v>0</v>
      </c>
      <c r="H22" s="22">
        <f t="shared" si="0"/>
        <v>0</v>
      </c>
      <c r="I22" s="13">
        <v>0</v>
      </c>
      <c r="J22" s="81">
        <v>33787</v>
      </c>
      <c r="K22" s="80" t="s">
        <v>858</v>
      </c>
      <c r="L22" s="31"/>
    </row>
    <row r="23" spans="1:12" ht="49.5" customHeight="1">
      <c r="A23" s="10" t="s">
        <v>377</v>
      </c>
      <c r="B23" s="11" t="s">
        <v>37</v>
      </c>
      <c r="C23" s="11" t="s">
        <v>37</v>
      </c>
      <c r="D23" s="12" t="s">
        <v>378</v>
      </c>
      <c r="E23" s="45">
        <v>1990</v>
      </c>
      <c r="F23" s="31"/>
      <c r="G23" s="48">
        <v>0</v>
      </c>
      <c r="H23" s="22">
        <f t="shared" si="0"/>
        <v>0</v>
      </c>
      <c r="I23" s="13">
        <v>0</v>
      </c>
      <c r="J23" s="81">
        <v>33787</v>
      </c>
      <c r="K23" s="80" t="s">
        <v>858</v>
      </c>
      <c r="L23" s="31"/>
    </row>
    <row r="24" spans="1:12" ht="49.5" customHeight="1">
      <c r="A24" s="10" t="s">
        <v>379</v>
      </c>
      <c r="B24" s="11" t="s">
        <v>37</v>
      </c>
      <c r="C24" s="11" t="s">
        <v>37</v>
      </c>
      <c r="D24" s="12" t="s">
        <v>380</v>
      </c>
      <c r="E24" s="45">
        <v>1984</v>
      </c>
      <c r="F24" s="31"/>
      <c r="G24" s="48">
        <v>0</v>
      </c>
      <c r="H24" s="22">
        <f t="shared" si="0"/>
        <v>0</v>
      </c>
      <c r="I24" s="13">
        <v>0</v>
      </c>
      <c r="J24" s="81">
        <v>33787</v>
      </c>
      <c r="K24" s="80" t="s">
        <v>858</v>
      </c>
      <c r="L24" s="31"/>
    </row>
    <row r="25" spans="1:12" ht="49.5" customHeight="1">
      <c r="A25" s="10" t="s">
        <v>381</v>
      </c>
      <c r="B25" s="11" t="s">
        <v>37</v>
      </c>
      <c r="C25" s="11" t="s">
        <v>37</v>
      </c>
      <c r="D25" s="12" t="s">
        <v>382</v>
      </c>
      <c r="E25" s="45">
        <v>1987</v>
      </c>
      <c r="F25" s="31"/>
      <c r="G25" s="48">
        <v>0</v>
      </c>
      <c r="H25" s="22">
        <f t="shared" si="0"/>
        <v>0</v>
      </c>
      <c r="I25" s="13">
        <v>0</v>
      </c>
      <c r="J25" s="81">
        <v>33787</v>
      </c>
      <c r="K25" s="80" t="s">
        <v>858</v>
      </c>
      <c r="L25" s="31"/>
    </row>
    <row r="26" spans="1:12" ht="49.5" customHeight="1">
      <c r="A26" s="10" t="s">
        <v>383</v>
      </c>
      <c r="B26" s="11" t="s">
        <v>134</v>
      </c>
      <c r="C26" s="11" t="s">
        <v>14</v>
      </c>
      <c r="D26" s="12" t="s">
        <v>384</v>
      </c>
      <c r="E26" s="45">
        <v>1986</v>
      </c>
      <c r="F26" s="31">
        <v>250.2</v>
      </c>
      <c r="G26" s="48">
        <v>3145291.38</v>
      </c>
      <c r="H26" s="22">
        <f t="shared" si="0"/>
        <v>1479264.14</v>
      </c>
      <c r="I26" s="13">
        <f>G26-1156383.18-322880.96</f>
        <v>1666027.24</v>
      </c>
      <c r="J26" s="81">
        <v>33787</v>
      </c>
      <c r="K26" s="80" t="s">
        <v>858</v>
      </c>
      <c r="L26" s="31"/>
    </row>
    <row r="27" spans="1:12" ht="49.5" customHeight="1">
      <c r="A27" s="10" t="s">
        <v>385</v>
      </c>
      <c r="B27" s="11" t="s">
        <v>37</v>
      </c>
      <c r="C27" s="11" t="s">
        <v>37</v>
      </c>
      <c r="D27" s="12" t="s">
        <v>386</v>
      </c>
      <c r="E27" s="45">
        <v>1945</v>
      </c>
      <c r="F27" s="31"/>
      <c r="G27" s="48">
        <v>96870.42</v>
      </c>
      <c r="H27" s="22">
        <f t="shared" si="0"/>
        <v>96870.42</v>
      </c>
      <c r="I27" s="13">
        <v>0</v>
      </c>
      <c r="J27" s="81">
        <v>33787</v>
      </c>
      <c r="K27" s="80" t="s">
        <v>858</v>
      </c>
      <c r="L27" s="31"/>
    </row>
    <row r="28" spans="1:12" ht="49.5" customHeight="1">
      <c r="A28" s="10" t="s">
        <v>387</v>
      </c>
      <c r="B28" s="11" t="s">
        <v>388</v>
      </c>
      <c r="C28" s="11" t="s">
        <v>14</v>
      </c>
      <c r="D28" s="12" t="s">
        <v>48</v>
      </c>
      <c r="E28" s="45"/>
      <c r="F28" s="31">
        <v>489</v>
      </c>
      <c r="G28" s="48">
        <v>508134.42</v>
      </c>
      <c r="H28" s="22">
        <f t="shared" si="0"/>
        <v>508134.42</v>
      </c>
      <c r="I28" s="13">
        <v>0</v>
      </c>
      <c r="J28" s="81">
        <v>33787</v>
      </c>
      <c r="K28" s="80" t="s">
        <v>858</v>
      </c>
      <c r="L28" s="31"/>
    </row>
    <row r="29" spans="1:12" ht="49.5" customHeight="1">
      <c r="A29" s="10" t="s">
        <v>389</v>
      </c>
      <c r="B29" s="11" t="s">
        <v>37</v>
      </c>
      <c r="C29" s="11" t="s">
        <v>37</v>
      </c>
      <c r="D29" s="12" t="s">
        <v>390</v>
      </c>
      <c r="E29" s="45">
        <v>1930</v>
      </c>
      <c r="F29" s="31"/>
      <c r="G29" s="48">
        <v>7659.18</v>
      </c>
      <c r="H29" s="22">
        <f t="shared" si="0"/>
        <v>7659.18</v>
      </c>
      <c r="I29" s="13">
        <v>0</v>
      </c>
      <c r="J29" s="81">
        <v>33787</v>
      </c>
      <c r="K29" s="80" t="s">
        <v>858</v>
      </c>
      <c r="L29" s="31"/>
    </row>
    <row r="30" spans="1:12" ht="127.5" customHeight="1">
      <c r="A30" s="10" t="s">
        <v>391</v>
      </c>
      <c r="B30" s="11" t="s">
        <v>392</v>
      </c>
      <c r="C30" s="11" t="s">
        <v>393</v>
      </c>
      <c r="D30" s="12" t="s">
        <v>394</v>
      </c>
      <c r="E30" s="8">
        <v>1976</v>
      </c>
      <c r="F30" s="86" t="s">
        <v>865</v>
      </c>
      <c r="G30" s="48">
        <v>4025535.57</v>
      </c>
      <c r="H30" s="22">
        <f t="shared" si="0"/>
        <v>3524006.86</v>
      </c>
      <c r="I30" s="13">
        <f>G30-3503029.86-20977</f>
        <v>501528.70999999996</v>
      </c>
      <c r="J30" s="81">
        <v>38799</v>
      </c>
      <c r="K30" s="80" t="s">
        <v>873</v>
      </c>
      <c r="L30" s="31"/>
    </row>
    <row r="31" spans="1:12" ht="49.5" customHeight="1">
      <c r="A31" s="10" t="s">
        <v>395</v>
      </c>
      <c r="B31" s="11" t="s">
        <v>396</v>
      </c>
      <c r="C31" s="11" t="s">
        <v>393</v>
      </c>
      <c r="D31" s="12" t="s">
        <v>394</v>
      </c>
      <c r="E31" s="8">
        <v>1979</v>
      </c>
      <c r="F31" s="86" t="s">
        <v>866</v>
      </c>
      <c r="G31" s="48">
        <v>1692678.78</v>
      </c>
      <c r="H31" s="22">
        <f t="shared" si="0"/>
        <v>1122225.6000000001</v>
      </c>
      <c r="I31" s="13">
        <f>G31-1038288.6-83937</f>
        <v>570453.18000000005</v>
      </c>
      <c r="J31" s="81">
        <v>38799</v>
      </c>
      <c r="K31" s="87" t="s">
        <v>874</v>
      </c>
      <c r="L31" s="31"/>
    </row>
    <row r="32" spans="1:12" ht="49.5" customHeight="1">
      <c r="A32" s="10" t="s">
        <v>397</v>
      </c>
      <c r="B32" s="11" t="s">
        <v>398</v>
      </c>
      <c r="C32" s="11" t="s">
        <v>393</v>
      </c>
      <c r="D32" s="12" t="s">
        <v>394</v>
      </c>
      <c r="E32" s="8">
        <v>1985</v>
      </c>
      <c r="F32" s="86" t="s">
        <v>867</v>
      </c>
      <c r="G32" s="48">
        <v>3326813.64</v>
      </c>
      <c r="H32" s="22">
        <f t="shared" si="0"/>
        <v>2078273.14</v>
      </c>
      <c r="I32" s="13">
        <f>G32-1973911.14-104362</f>
        <v>1248540.5000000002</v>
      </c>
      <c r="J32" s="81">
        <v>38799</v>
      </c>
      <c r="K32" s="87" t="s">
        <v>874</v>
      </c>
      <c r="L32" s="31"/>
    </row>
    <row r="33" spans="1:12" ht="49.5" customHeight="1">
      <c r="A33" s="10" t="s">
        <v>399</v>
      </c>
      <c r="B33" s="11" t="s">
        <v>400</v>
      </c>
      <c r="C33" s="11" t="s">
        <v>393</v>
      </c>
      <c r="D33" s="12" t="s">
        <v>394</v>
      </c>
      <c r="E33" s="8">
        <v>2000</v>
      </c>
      <c r="F33" s="86" t="s">
        <v>868</v>
      </c>
      <c r="G33" s="48">
        <v>2760669.27</v>
      </c>
      <c r="H33" s="22">
        <f t="shared" si="0"/>
        <v>675992.71</v>
      </c>
      <c r="I33" s="13">
        <f>G33-579421.71-96571</f>
        <v>2084676.56</v>
      </c>
      <c r="J33" s="81">
        <v>38799</v>
      </c>
      <c r="K33" s="87" t="s">
        <v>874</v>
      </c>
      <c r="L33" s="31"/>
    </row>
    <row r="34" spans="1:12" ht="49.5" customHeight="1">
      <c r="A34" s="10" t="s">
        <v>401</v>
      </c>
      <c r="B34" s="11" t="s">
        <v>402</v>
      </c>
      <c r="C34" s="11" t="s">
        <v>393</v>
      </c>
      <c r="D34" s="12" t="s">
        <v>394</v>
      </c>
      <c r="E34" s="8">
        <v>1985</v>
      </c>
      <c r="F34" s="86" t="s">
        <v>869</v>
      </c>
      <c r="G34" s="48">
        <f>3753764.73-435812-487447</f>
        <v>2830505.73</v>
      </c>
      <c r="H34" s="22">
        <f t="shared" si="0"/>
        <v>2150785.48</v>
      </c>
      <c r="I34" s="13">
        <f>974669.25-173983-120966</f>
        <v>679720.25</v>
      </c>
      <c r="J34" s="81">
        <v>38799</v>
      </c>
      <c r="K34" s="87" t="s">
        <v>874</v>
      </c>
      <c r="L34" s="31"/>
    </row>
    <row r="35" spans="1:12" ht="72" customHeight="1">
      <c r="A35" s="10" t="s">
        <v>403</v>
      </c>
      <c r="B35" s="11" t="s">
        <v>404</v>
      </c>
      <c r="C35" s="11" t="s">
        <v>393</v>
      </c>
      <c r="D35" s="12" t="s">
        <v>394</v>
      </c>
      <c r="E35" s="8"/>
      <c r="F35" s="86" t="s">
        <v>870</v>
      </c>
      <c r="G35" s="48">
        <v>44905.5</v>
      </c>
      <c r="H35" s="22">
        <f t="shared" si="0"/>
        <v>25604.68</v>
      </c>
      <c r="I35" s="13">
        <f>G35-24675.14-929.54</f>
        <v>19300.82</v>
      </c>
      <c r="J35" s="81">
        <v>38859</v>
      </c>
      <c r="K35" s="87" t="s">
        <v>875</v>
      </c>
      <c r="L35" s="31"/>
    </row>
    <row r="36" spans="1:12" ht="61.5" customHeight="1">
      <c r="A36" s="10" t="s">
        <v>405</v>
      </c>
      <c r="B36" s="11" t="s">
        <v>406</v>
      </c>
      <c r="C36" s="11" t="s">
        <v>18</v>
      </c>
      <c r="D36" s="12" t="s">
        <v>386</v>
      </c>
      <c r="E36" s="45">
        <v>1967</v>
      </c>
      <c r="F36" s="31"/>
      <c r="G36" s="48">
        <v>321999.57</v>
      </c>
      <c r="H36" s="22">
        <f t="shared" si="0"/>
        <v>321999.57</v>
      </c>
      <c r="I36" s="13">
        <v>0</v>
      </c>
      <c r="J36" s="81">
        <v>38866</v>
      </c>
      <c r="K36" s="87" t="s">
        <v>876</v>
      </c>
      <c r="L36" s="31"/>
    </row>
    <row r="37" spans="1:12" ht="57" customHeight="1">
      <c r="A37" s="10" t="s">
        <v>407</v>
      </c>
      <c r="B37" s="33" t="s">
        <v>406</v>
      </c>
      <c r="C37" s="11" t="s">
        <v>18</v>
      </c>
      <c r="D37" s="12" t="s">
        <v>408</v>
      </c>
      <c r="E37" s="45">
        <v>1968</v>
      </c>
      <c r="F37" s="31"/>
      <c r="G37" s="48">
        <v>201989.85</v>
      </c>
      <c r="H37" s="22">
        <f t="shared" si="0"/>
        <v>201989.85</v>
      </c>
      <c r="I37" s="13">
        <v>0</v>
      </c>
      <c r="J37" s="81">
        <v>38866</v>
      </c>
      <c r="K37" s="87" t="s">
        <v>876</v>
      </c>
      <c r="L37" s="31"/>
    </row>
    <row r="38" spans="1:12" ht="49.5" customHeight="1">
      <c r="A38" s="10" t="s">
        <v>409</v>
      </c>
      <c r="B38" s="33" t="s">
        <v>410</v>
      </c>
      <c r="C38" s="11" t="s">
        <v>14</v>
      </c>
      <c r="D38" s="12" t="s">
        <v>411</v>
      </c>
      <c r="E38" s="45">
        <v>1940</v>
      </c>
      <c r="F38" s="31">
        <v>79.400000000000006</v>
      </c>
      <c r="G38" s="48">
        <v>211100.22</v>
      </c>
      <c r="H38" s="22">
        <f t="shared" si="0"/>
        <v>211100.22</v>
      </c>
      <c r="I38" s="13">
        <v>0</v>
      </c>
      <c r="J38" s="81">
        <v>33787</v>
      </c>
      <c r="K38" s="80" t="s">
        <v>858</v>
      </c>
      <c r="L38" s="31"/>
    </row>
    <row r="39" spans="1:12" ht="49.5" customHeight="1">
      <c r="A39" s="10" t="s">
        <v>412</v>
      </c>
      <c r="B39" s="33" t="s">
        <v>413</v>
      </c>
      <c r="C39" s="11" t="s">
        <v>14</v>
      </c>
      <c r="D39" s="12" t="s">
        <v>411</v>
      </c>
      <c r="E39" s="45">
        <v>1940</v>
      </c>
      <c r="F39" s="31">
        <v>90.3</v>
      </c>
      <c r="G39" s="48">
        <v>266698.89</v>
      </c>
      <c r="H39" s="22">
        <f t="shared" si="0"/>
        <v>266698.89</v>
      </c>
      <c r="I39" s="13">
        <v>0</v>
      </c>
      <c r="J39" s="81">
        <v>33787</v>
      </c>
      <c r="K39" s="80" t="s">
        <v>858</v>
      </c>
      <c r="L39" s="31"/>
    </row>
    <row r="40" spans="1:12" ht="49.5" customHeight="1">
      <c r="A40" s="10" t="s">
        <v>414</v>
      </c>
      <c r="B40" s="11" t="s">
        <v>917</v>
      </c>
      <c r="C40" s="11" t="s">
        <v>14</v>
      </c>
      <c r="D40" s="12" t="s">
        <v>928</v>
      </c>
      <c r="E40" s="45">
        <v>1967</v>
      </c>
      <c r="F40" s="31">
        <v>30</v>
      </c>
      <c r="G40" s="48">
        <v>235024.83</v>
      </c>
      <c r="H40" s="22">
        <f t="shared" si="0"/>
        <v>235024.83</v>
      </c>
      <c r="I40" s="13">
        <v>0</v>
      </c>
      <c r="J40" s="81">
        <v>33787</v>
      </c>
      <c r="K40" s="80" t="s">
        <v>858</v>
      </c>
      <c r="L40" s="31"/>
    </row>
    <row r="41" spans="1:12" ht="49.5" customHeight="1">
      <c r="A41" s="10" t="s">
        <v>415</v>
      </c>
      <c r="B41" s="11" t="s">
        <v>416</v>
      </c>
      <c r="C41" s="11" t="s">
        <v>14</v>
      </c>
      <c r="D41" s="12" t="s">
        <v>417</v>
      </c>
      <c r="E41" s="45">
        <v>1980</v>
      </c>
      <c r="F41" s="31">
        <v>165.6</v>
      </c>
      <c r="G41" s="48">
        <v>766104</v>
      </c>
      <c r="H41" s="22">
        <f t="shared" si="0"/>
        <v>343954</v>
      </c>
      <c r="I41" s="13">
        <v>422150</v>
      </c>
      <c r="J41" s="81">
        <v>33787</v>
      </c>
      <c r="K41" s="80" t="s">
        <v>858</v>
      </c>
      <c r="L41" s="31"/>
    </row>
    <row r="42" spans="1:12" ht="49.5" customHeight="1">
      <c r="A42" s="10" t="s">
        <v>418</v>
      </c>
      <c r="B42" s="33" t="s">
        <v>419</v>
      </c>
      <c r="C42" s="11" t="s">
        <v>14</v>
      </c>
      <c r="D42" s="12" t="s">
        <v>417</v>
      </c>
      <c r="E42" s="45">
        <v>1988</v>
      </c>
      <c r="F42" s="31">
        <v>49.6</v>
      </c>
      <c r="G42" s="48">
        <v>512960</v>
      </c>
      <c r="H42" s="22">
        <f t="shared" si="0"/>
        <v>232088</v>
      </c>
      <c r="I42" s="13">
        <v>280872</v>
      </c>
      <c r="J42" s="81">
        <v>33787</v>
      </c>
      <c r="K42" s="80" t="s">
        <v>858</v>
      </c>
      <c r="L42" s="31"/>
    </row>
    <row r="43" spans="1:12" ht="49.5" customHeight="1">
      <c r="A43" s="10" t="s">
        <v>420</v>
      </c>
      <c r="B43" s="33" t="s">
        <v>421</v>
      </c>
      <c r="C43" s="11" t="s">
        <v>14</v>
      </c>
      <c r="D43" s="12" t="s">
        <v>417</v>
      </c>
      <c r="E43" s="45">
        <v>1971</v>
      </c>
      <c r="F43" s="31">
        <v>140</v>
      </c>
      <c r="G43" s="48">
        <v>328135</v>
      </c>
      <c r="H43" s="22">
        <f t="shared" si="0"/>
        <v>181410</v>
      </c>
      <c r="I43" s="13">
        <v>146725</v>
      </c>
      <c r="J43" s="81">
        <v>33787</v>
      </c>
      <c r="K43" s="80" t="s">
        <v>858</v>
      </c>
      <c r="L43" s="90" t="s">
        <v>887</v>
      </c>
    </row>
    <row r="44" spans="1:12" ht="49.5" customHeight="1">
      <c r="A44" s="10" t="s">
        <v>422</v>
      </c>
      <c r="B44" s="11" t="s">
        <v>416</v>
      </c>
      <c r="C44" s="11" t="s">
        <v>14</v>
      </c>
      <c r="D44" s="12" t="s">
        <v>417</v>
      </c>
      <c r="E44" s="45">
        <v>1986</v>
      </c>
      <c r="F44" s="31">
        <v>41.7</v>
      </c>
      <c r="G44" s="48">
        <v>73900</v>
      </c>
      <c r="H44" s="22">
        <f t="shared" si="0"/>
        <v>27092</v>
      </c>
      <c r="I44" s="13">
        <v>46808</v>
      </c>
      <c r="J44" s="81">
        <v>33787</v>
      </c>
      <c r="K44" s="80" t="s">
        <v>858</v>
      </c>
      <c r="L44" s="31"/>
    </row>
    <row r="45" spans="1:12" ht="49.5" customHeight="1">
      <c r="A45" s="10" t="s">
        <v>423</v>
      </c>
      <c r="B45" s="33" t="s">
        <v>424</v>
      </c>
      <c r="C45" s="11" t="s">
        <v>14</v>
      </c>
      <c r="D45" s="12" t="s">
        <v>417</v>
      </c>
      <c r="E45" s="45">
        <v>1970</v>
      </c>
      <c r="F45" s="31">
        <v>194.1</v>
      </c>
      <c r="G45" s="48">
        <v>206574</v>
      </c>
      <c r="H45" s="22">
        <f t="shared" si="0"/>
        <v>134347</v>
      </c>
      <c r="I45" s="13">
        <v>72227</v>
      </c>
      <c r="J45" s="81">
        <v>33787</v>
      </c>
      <c r="K45" s="80" t="s">
        <v>858</v>
      </c>
      <c r="L45" s="31"/>
    </row>
    <row r="46" spans="1:12" ht="49.5" customHeight="1">
      <c r="A46" s="10" t="s">
        <v>425</v>
      </c>
      <c r="B46" s="33" t="s">
        <v>426</v>
      </c>
      <c r="C46" s="11" t="s">
        <v>14</v>
      </c>
      <c r="D46" s="12" t="s">
        <v>417</v>
      </c>
      <c r="E46" s="45">
        <v>1971</v>
      </c>
      <c r="F46" s="31">
        <v>80.2</v>
      </c>
      <c r="G46" s="48">
        <v>29352</v>
      </c>
      <c r="H46" s="22">
        <f t="shared" si="0"/>
        <v>20166</v>
      </c>
      <c r="I46" s="13">
        <v>9186</v>
      </c>
      <c r="J46" s="81">
        <v>33787</v>
      </c>
      <c r="K46" s="80" t="s">
        <v>858</v>
      </c>
      <c r="L46" s="31"/>
    </row>
    <row r="47" spans="1:12" ht="49.5" customHeight="1">
      <c r="A47" s="10" t="s">
        <v>427</v>
      </c>
      <c r="B47" s="33" t="s">
        <v>428</v>
      </c>
      <c r="C47" s="11" t="s">
        <v>14</v>
      </c>
      <c r="D47" s="12" t="s">
        <v>429</v>
      </c>
      <c r="E47" s="45">
        <v>1962</v>
      </c>
      <c r="F47" s="31">
        <v>84.2</v>
      </c>
      <c r="G47" s="48">
        <v>60548</v>
      </c>
      <c r="H47" s="22">
        <f t="shared" si="0"/>
        <v>60548</v>
      </c>
      <c r="I47" s="13">
        <v>0</v>
      </c>
      <c r="J47" s="81">
        <v>33787</v>
      </c>
      <c r="K47" s="80" t="s">
        <v>858</v>
      </c>
      <c r="L47" s="31"/>
    </row>
    <row r="48" spans="1:12" ht="49.5" customHeight="1">
      <c r="A48" s="10" t="s">
        <v>430</v>
      </c>
      <c r="B48" s="33" t="s">
        <v>431</v>
      </c>
      <c r="C48" s="11" t="s">
        <v>14</v>
      </c>
      <c r="D48" s="12" t="s">
        <v>429</v>
      </c>
      <c r="E48" s="45">
        <v>1986</v>
      </c>
      <c r="F48" s="31"/>
      <c r="G48" s="48">
        <v>194036</v>
      </c>
      <c r="H48" s="22">
        <f t="shared" si="0"/>
        <v>110747</v>
      </c>
      <c r="I48" s="13">
        <v>83289</v>
      </c>
      <c r="J48" s="81">
        <v>33787</v>
      </c>
      <c r="K48" s="80" t="s">
        <v>858</v>
      </c>
      <c r="L48" s="31"/>
    </row>
    <row r="49" spans="1:12" ht="49.5" customHeight="1">
      <c r="A49" s="10" t="s">
        <v>432</v>
      </c>
      <c r="B49" s="33" t="s">
        <v>33</v>
      </c>
      <c r="C49" s="11" t="s">
        <v>14</v>
      </c>
      <c r="D49" s="12" t="s">
        <v>429</v>
      </c>
      <c r="E49" s="45">
        <v>1988</v>
      </c>
      <c r="F49" s="31">
        <v>37.200000000000003</v>
      </c>
      <c r="G49" s="48">
        <v>28950</v>
      </c>
      <c r="H49" s="22">
        <f t="shared" si="0"/>
        <v>14116</v>
      </c>
      <c r="I49" s="13">
        <v>14834</v>
      </c>
      <c r="J49" s="81">
        <v>33787</v>
      </c>
      <c r="K49" s="80" t="s">
        <v>858</v>
      </c>
      <c r="L49" s="31"/>
    </row>
    <row r="50" spans="1:12" ht="49.5" customHeight="1">
      <c r="A50" s="10" t="s">
        <v>433</v>
      </c>
      <c r="B50" s="33" t="s">
        <v>33</v>
      </c>
      <c r="C50" s="11" t="s">
        <v>14</v>
      </c>
      <c r="D50" s="12" t="s">
        <v>429</v>
      </c>
      <c r="E50" s="45">
        <v>1965</v>
      </c>
      <c r="F50" s="31">
        <v>25.2</v>
      </c>
      <c r="G50" s="48">
        <v>5815</v>
      </c>
      <c r="H50" s="22">
        <f t="shared" si="0"/>
        <v>5815</v>
      </c>
      <c r="I50" s="13">
        <v>0</v>
      </c>
      <c r="J50" s="81">
        <v>33787</v>
      </c>
      <c r="K50" s="80" t="s">
        <v>858</v>
      </c>
      <c r="L50" s="31"/>
    </row>
    <row r="51" spans="1:12" ht="49.5" customHeight="1">
      <c r="A51" s="10" t="s">
        <v>434</v>
      </c>
      <c r="B51" s="33" t="s">
        <v>21</v>
      </c>
      <c r="C51" s="11" t="s">
        <v>14</v>
      </c>
      <c r="D51" s="12" t="s">
        <v>435</v>
      </c>
      <c r="E51" s="45">
        <v>1954</v>
      </c>
      <c r="F51" s="31">
        <v>1525</v>
      </c>
      <c r="G51" s="48">
        <v>1518613.74</v>
      </c>
      <c r="H51" s="22">
        <f t="shared" si="0"/>
        <v>1518613.74</v>
      </c>
      <c r="I51" s="13">
        <v>0</v>
      </c>
      <c r="J51" s="81">
        <v>33787</v>
      </c>
      <c r="K51" s="80" t="s">
        <v>858</v>
      </c>
      <c r="L51" s="31"/>
    </row>
    <row r="52" spans="1:12" ht="49.5" customHeight="1">
      <c r="A52" s="10" t="s">
        <v>436</v>
      </c>
      <c r="B52" s="33" t="s">
        <v>28</v>
      </c>
      <c r="C52" s="11" t="s">
        <v>14</v>
      </c>
      <c r="D52" s="12" t="s">
        <v>435</v>
      </c>
      <c r="E52" s="45">
        <v>1949</v>
      </c>
      <c r="F52" s="31">
        <v>128</v>
      </c>
      <c r="G52" s="48">
        <v>226433.88</v>
      </c>
      <c r="H52" s="22">
        <f t="shared" si="0"/>
        <v>226433.88</v>
      </c>
      <c r="I52" s="13">
        <v>0</v>
      </c>
      <c r="J52" s="81">
        <v>33787</v>
      </c>
      <c r="K52" s="80" t="s">
        <v>858</v>
      </c>
      <c r="L52" s="31"/>
    </row>
    <row r="53" spans="1:12" ht="49.5" customHeight="1">
      <c r="A53" s="10" t="s">
        <v>437</v>
      </c>
      <c r="B53" s="33" t="s">
        <v>438</v>
      </c>
      <c r="C53" s="18" t="s">
        <v>14</v>
      </c>
      <c r="D53" s="12" t="s">
        <v>439</v>
      </c>
      <c r="E53" s="45">
        <v>1945</v>
      </c>
      <c r="F53" s="31">
        <v>249.5</v>
      </c>
      <c r="G53" s="48">
        <v>549149</v>
      </c>
      <c r="H53" s="22">
        <f t="shared" si="0"/>
        <v>549149</v>
      </c>
      <c r="I53" s="13">
        <v>0</v>
      </c>
      <c r="J53" s="81">
        <v>33787</v>
      </c>
      <c r="K53" s="80" t="s">
        <v>858</v>
      </c>
      <c r="L53" s="31"/>
    </row>
    <row r="54" spans="1:12" ht="49.5" customHeight="1">
      <c r="A54" s="10" t="s">
        <v>440</v>
      </c>
      <c r="B54" s="11" t="s">
        <v>918</v>
      </c>
      <c r="C54" s="11" t="s">
        <v>14</v>
      </c>
      <c r="D54" s="12" t="s">
        <v>923</v>
      </c>
      <c r="E54" s="45">
        <v>1952</v>
      </c>
      <c r="F54" s="31">
        <v>211.5</v>
      </c>
      <c r="G54" s="48">
        <v>672102.99</v>
      </c>
      <c r="H54" s="22">
        <f t="shared" si="0"/>
        <v>672102.99</v>
      </c>
      <c r="I54" s="13">
        <v>0</v>
      </c>
      <c r="J54" s="81">
        <v>33787</v>
      </c>
      <c r="K54" s="80" t="s">
        <v>858</v>
      </c>
      <c r="L54" s="31"/>
    </row>
    <row r="55" spans="1:12" ht="49.5" customHeight="1">
      <c r="A55" s="10" t="s">
        <v>442</v>
      </c>
      <c r="B55" s="11" t="s">
        <v>918</v>
      </c>
      <c r="C55" s="11" t="s">
        <v>14</v>
      </c>
      <c r="D55" s="12" t="s">
        <v>924</v>
      </c>
      <c r="E55" s="45">
        <v>1962</v>
      </c>
      <c r="F55" s="31">
        <v>484</v>
      </c>
      <c r="G55" s="48">
        <v>1222327.71</v>
      </c>
      <c r="H55" s="22">
        <f t="shared" si="0"/>
        <v>1222327.71</v>
      </c>
      <c r="I55" s="13">
        <v>0</v>
      </c>
      <c r="J55" s="81">
        <v>33787</v>
      </c>
      <c r="K55" s="80" t="s">
        <v>858</v>
      </c>
      <c r="L55" s="31"/>
    </row>
    <row r="56" spans="1:12" ht="49.5" customHeight="1">
      <c r="A56" s="10" t="s">
        <v>443</v>
      </c>
      <c r="B56" s="11" t="s">
        <v>918</v>
      </c>
      <c r="C56" s="11" t="s">
        <v>14</v>
      </c>
      <c r="D56" s="12" t="s">
        <v>925</v>
      </c>
      <c r="E56" s="45">
        <v>1961</v>
      </c>
      <c r="F56" s="31">
        <v>127.5</v>
      </c>
      <c r="G56" s="48">
        <v>371352.42</v>
      </c>
      <c r="H56" s="22">
        <f t="shared" si="0"/>
        <v>371352.42</v>
      </c>
      <c r="I56" s="13">
        <v>0</v>
      </c>
      <c r="J56" s="81">
        <v>33787</v>
      </c>
      <c r="K56" s="80" t="s">
        <v>858</v>
      </c>
      <c r="L56" s="31"/>
    </row>
    <row r="57" spans="1:12" ht="49.5" customHeight="1">
      <c r="A57" s="10" t="s">
        <v>444</v>
      </c>
      <c r="B57" s="33" t="s">
        <v>54</v>
      </c>
      <c r="C57" s="11" t="s">
        <v>14</v>
      </c>
      <c r="D57" s="12" t="s">
        <v>441</v>
      </c>
      <c r="E57" s="45">
        <v>1986</v>
      </c>
      <c r="F57" s="31">
        <v>112</v>
      </c>
      <c r="G57" s="48">
        <v>85845.24</v>
      </c>
      <c r="H57" s="22">
        <f t="shared" si="0"/>
        <v>85845.24</v>
      </c>
      <c r="I57" s="13">
        <v>0</v>
      </c>
      <c r="J57" s="81">
        <v>33787</v>
      </c>
      <c r="K57" s="80" t="s">
        <v>858</v>
      </c>
      <c r="L57" s="31"/>
    </row>
    <row r="58" spans="1:12" ht="49.5" customHeight="1">
      <c r="A58" s="10" t="s">
        <v>445</v>
      </c>
      <c r="B58" s="11" t="s">
        <v>288</v>
      </c>
      <c r="C58" s="11" t="s">
        <v>14</v>
      </c>
      <c r="D58" s="12" t="s">
        <v>446</v>
      </c>
      <c r="E58" s="45">
        <v>1935</v>
      </c>
      <c r="F58" s="31">
        <v>121</v>
      </c>
      <c r="G58" s="48">
        <v>210903.2</v>
      </c>
      <c r="H58" s="22">
        <f t="shared" si="0"/>
        <v>210903.2</v>
      </c>
      <c r="I58" s="13">
        <v>0</v>
      </c>
      <c r="J58" s="81">
        <v>33787</v>
      </c>
      <c r="K58" s="80" t="s">
        <v>858</v>
      </c>
      <c r="L58" s="31"/>
    </row>
    <row r="59" spans="1:12" ht="49.5" customHeight="1">
      <c r="A59" s="10" t="s">
        <v>447</v>
      </c>
      <c r="B59" s="11" t="s">
        <v>315</v>
      </c>
      <c r="C59" s="11" t="s">
        <v>14</v>
      </c>
      <c r="D59" s="12" t="s">
        <v>448</v>
      </c>
      <c r="E59" s="45">
        <v>1954</v>
      </c>
      <c r="F59" s="31">
        <v>114</v>
      </c>
      <c r="G59" s="48">
        <v>226434</v>
      </c>
      <c r="H59" s="22">
        <f t="shared" si="0"/>
        <v>226434</v>
      </c>
      <c r="I59" s="13">
        <v>0</v>
      </c>
      <c r="J59" s="81">
        <v>33787</v>
      </c>
      <c r="K59" s="80" t="s">
        <v>858</v>
      </c>
      <c r="L59" s="31"/>
    </row>
    <row r="60" spans="1:12" ht="49.5" customHeight="1">
      <c r="A60" s="10" t="s">
        <v>449</v>
      </c>
      <c r="B60" s="11" t="s">
        <v>918</v>
      </c>
      <c r="C60" s="11" t="s">
        <v>14</v>
      </c>
      <c r="D60" s="12" t="s">
        <v>920</v>
      </c>
      <c r="E60" s="45">
        <v>1989</v>
      </c>
      <c r="F60" s="31">
        <f>446+160</f>
        <v>606</v>
      </c>
      <c r="G60" s="48">
        <f>6712760.25+2381021</f>
        <v>9093781.25</v>
      </c>
      <c r="H60" s="22">
        <f t="shared" si="0"/>
        <v>4356482.76</v>
      </c>
      <c r="I60" s="13">
        <f>3189641.49+1547657</f>
        <v>4737298.49</v>
      </c>
      <c r="J60" s="81">
        <v>33787</v>
      </c>
      <c r="K60" s="80" t="s">
        <v>858</v>
      </c>
      <c r="L60" s="31"/>
    </row>
    <row r="61" spans="1:12" ht="49.5" customHeight="1">
      <c r="A61" s="10" t="s">
        <v>450</v>
      </c>
      <c r="B61" s="11" t="s">
        <v>918</v>
      </c>
      <c r="C61" s="11" t="s">
        <v>14</v>
      </c>
      <c r="D61" s="12" t="s">
        <v>926</v>
      </c>
      <c r="E61" s="45">
        <v>1978</v>
      </c>
      <c r="F61" s="31">
        <v>399.9</v>
      </c>
      <c r="G61" s="48">
        <v>4669697.7</v>
      </c>
      <c r="H61" s="22">
        <f t="shared" si="0"/>
        <v>4329228</v>
      </c>
      <c r="I61" s="13">
        <v>340469.7</v>
      </c>
      <c r="J61" s="81">
        <v>33787</v>
      </c>
      <c r="K61" s="80" t="s">
        <v>858</v>
      </c>
      <c r="L61" s="31"/>
    </row>
    <row r="62" spans="1:12" ht="49.5" customHeight="1">
      <c r="A62" s="10" t="s">
        <v>451</v>
      </c>
      <c r="B62" s="11" t="s">
        <v>452</v>
      </c>
      <c r="C62" s="11" t="s">
        <v>14</v>
      </c>
      <c r="D62" s="12" t="s">
        <v>453</v>
      </c>
      <c r="E62" s="45">
        <v>1975</v>
      </c>
      <c r="F62" s="31">
        <v>291</v>
      </c>
      <c r="G62" s="48">
        <v>1403710.74</v>
      </c>
      <c r="H62" s="22">
        <f t="shared" si="0"/>
        <v>1403710.74</v>
      </c>
      <c r="I62" s="13">
        <v>0</v>
      </c>
      <c r="J62" s="81">
        <v>33787</v>
      </c>
      <c r="K62" s="80" t="s">
        <v>858</v>
      </c>
      <c r="L62" s="31"/>
    </row>
    <row r="63" spans="1:12" ht="49.5" customHeight="1">
      <c r="A63" s="10" t="s">
        <v>455</v>
      </c>
      <c r="B63" s="11" t="s">
        <v>456</v>
      </c>
      <c r="C63" s="11" t="s">
        <v>14</v>
      </c>
      <c r="D63" s="12" t="s">
        <v>457</v>
      </c>
      <c r="E63" s="45">
        <v>1954</v>
      </c>
      <c r="F63" s="31">
        <f>52.5+17.5</f>
        <v>70</v>
      </c>
      <c r="G63" s="48">
        <f>292175+97391</f>
        <v>389566</v>
      </c>
      <c r="H63" s="22">
        <f t="shared" si="0"/>
        <v>389566</v>
      </c>
      <c r="I63" s="13">
        <v>0</v>
      </c>
      <c r="J63" s="81">
        <v>33787</v>
      </c>
      <c r="K63" s="80" t="s">
        <v>858</v>
      </c>
      <c r="L63" s="31"/>
    </row>
    <row r="64" spans="1:12" ht="49.5" customHeight="1">
      <c r="A64" s="10" t="s">
        <v>458</v>
      </c>
      <c r="B64" s="11" t="s">
        <v>918</v>
      </c>
      <c r="C64" s="11" t="s">
        <v>14</v>
      </c>
      <c r="D64" s="12" t="s">
        <v>921</v>
      </c>
      <c r="E64" s="45">
        <v>1987</v>
      </c>
      <c r="F64" s="31">
        <v>120</v>
      </c>
      <c r="G64" s="48">
        <v>1045176.66</v>
      </c>
      <c r="H64" s="22">
        <f t="shared" si="0"/>
        <v>620052.17000000004</v>
      </c>
      <c r="I64" s="13">
        <v>425124.49</v>
      </c>
      <c r="J64" s="81">
        <v>33787</v>
      </c>
      <c r="K64" s="80" t="s">
        <v>858</v>
      </c>
      <c r="L64" s="31"/>
    </row>
    <row r="65" spans="1:12" ht="49.5" customHeight="1">
      <c r="A65" s="10" t="s">
        <v>459</v>
      </c>
      <c r="B65" s="11" t="s">
        <v>918</v>
      </c>
      <c r="C65" s="11" t="s">
        <v>14</v>
      </c>
      <c r="D65" s="12" t="s">
        <v>919</v>
      </c>
      <c r="E65" s="45">
        <v>1991</v>
      </c>
      <c r="F65" s="31">
        <v>124.5</v>
      </c>
      <c r="G65" s="48">
        <v>138352</v>
      </c>
      <c r="H65" s="22">
        <f t="shared" si="0"/>
        <v>138352</v>
      </c>
      <c r="I65" s="13">
        <v>0</v>
      </c>
      <c r="J65" s="81">
        <v>33787</v>
      </c>
      <c r="K65" s="80" t="s">
        <v>858</v>
      </c>
      <c r="L65" s="31"/>
    </row>
    <row r="66" spans="1:12" ht="49.5" customHeight="1">
      <c r="A66" s="10" t="s">
        <v>460</v>
      </c>
      <c r="B66" s="11" t="s">
        <v>918</v>
      </c>
      <c r="C66" s="11" t="s">
        <v>14</v>
      </c>
      <c r="D66" s="12" t="s">
        <v>927</v>
      </c>
      <c r="E66" s="45">
        <v>1971</v>
      </c>
      <c r="F66" s="31">
        <v>275</v>
      </c>
      <c r="G66" s="48">
        <v>748946</v>
      </c>
      <c r="H66" s="22">
        <f t="shared" si="0"/>
        <v>748946</v>
      </c>
      <c r="I66" s="13">
        <v>0</v>
      </c>
      <c r="J66" s="81">
        <v>33787</v>
      </c>
      <c r="K66" s="80" t="s">
        <v>858</v>
      </c>
      <c r="L66" s="31"/>
    </row>
    <row r="67" spans="1:12" ht="49.5" customHeight="1">
      <c r="A67" s="17" t="s">
        <v>461</v>
      </c>
      <c r="B67" s="18" t="s">
        <v>462</v>
      </c>
      <c r="C67" s="18" t="s">
        <v>14</v>
      </c>
      <c r="D67" s="12" t="s">
        <v>463</v>
      </c>
      <c r="E67" s="46">
        <v>1975</v>
      </c>
      <c r="F67" s="50">
        <v>58</v>
      </c>
      <c r="G67" s="49">
        <v>280741</v>
      </c>
      <c r="H67" s="22">
        <f t="shared" si="0"/>
        <v>253291.86</v>
      </c>
      <c r="I67" s="20">
        <v>27449.14</v>
      </c>
      <c r="J67" s="81">
        <v>33787</v>
      </c>
      <c r="K67" s="80" t="s">
        <v>858</v>
      </c>
      <c r="L67" s="31"/>
    </row>
    <row r="68" spans="1:12" s="32" customFormat="1" ht="49.5" customHeight="1">
      <c r="A68" s="17" t="s">
        <v>464</v>
      </c>
      <c r="B68" s="11" t="s">
        <v>465</v>
      </c>
      <c r="C68" s="18" t="s">
        <v>14</v>
      </c>
      <c r="D68" s="12" t="s">
        <v>463</v>
      </c>
      <c r="E68" s="46">
        <v>1972</v>
      </c>
      <c r="F68" s="50">
        <v>40</v>
      </c>
      <c r="G68" s="49">
        <v>126984</v>
      </c>
      <c r="H68" s="22">
        <f t="shared" si="0"/>
        <v>126984</v>
      </c>
      <c r="I68" s="20">
        <v>0</v>
      </c>
      <c r="J68" s="81">
        <v>33787</v>
      </c>
      <c r="K68" s="80" t="s">
        <v>858</v>
      </c>
      <c r="L68" s="83"/>
    </row>
    <row r="69" spans="1:12" ht="49.5" customHeight="1">
      <c r="A69" s="17" t="s">
        <v>466</v>
      </c>
      <c r="B69" s="18" t="s">
        <v>467</v>
      </c>
      <c r="C69" s="18" t="s">
        <v>18</v>
      </c>
      <c r="D69" s="12" t="s">
        <v>468</v>
      </c>
      <c r="E69" s="46">
        <v>1982</v>
      </c>
      <c r="F69" s="50">
        <v>32.700000000000003</v>
      </c>
      <c r="G69" s="49">
        <v>815195</v>
      </c>
      <c r="H69" s="22">
        <f t="shared" si="0"/>
        <v>815195</v>
      </c>
      <c r="I69" s="20">
        <v>0</v>
      </c>
      <c r="J69" s="81">
        <v>33787</v>
      </c>
      <c r="K69" s="80" t="s">
        <v>858</v>
      </c>
      <c r="L69" s="90" t="s">
        <v>892</v>
      </c>
    </row>
    <row r="70" spans="1:12" ht="49.5" customHeight="1">
      <c r="A70" s="10" t="s">
        <v>519</v>
      </c>
      <c r="B70" s="11" t="s">
        <v>134</v>
      </c>
      <c r="C70" s="11" t="s">
        <v>14</v>
      </c>
      <c r="D70" s="12" t="s">
        <v>51</v>
      </c>
      <c r="E70" s="46">
        <v>1968</v>
      </c>
      <c r="F70" s="50">
        <v>517</v>
      </c>
      <c r="G70" s="49">
        <v>3877378.02</v>
      </c>
      <c r="H70" s="22">
        <f t="shared" ref="H70:H83" si="1">G70-I70</f>
        <v>3877378.02</v>
      </c>
      <c r="I70" s="20">
        <v>0</v>
      </c>
      <c r="J70" s="81">
        <v>33787</v>
      </c>
      <c r="K70" s="80" t="s">
        <v>858</v>
      </c>
      <c r="L70" s="31"/>
    </row>
    <row r="71" spans="1:12" ht="49.5" customHeight="1">
      <c r="A71" s="10" t="s">
        <v>520</v>
      </c>
      <c r="B71" s="11" t="s">
        <v>133</v>
      </c>
      <c r="C71" s="11" t="s">
        <v>14</v>
      </c>
      <c r="D71" s="12" t="s">
        <v>386</v>
      </c>
      <c r="E71" s="46">
        <v>1975</v>
      </c>
      <c r="F71" s="50">
        <v>75</v>
      </c>
      <c r="G71" s="49">
        <v>494066.07</v>
      </c>
      <c r="H71" s="22">
        <f t="shared" si="1"/>
        <v>494066.07</v>
      </c>
      <c r="I71" s="20">
        <v>0</v>
      </c>
      <c r="J71" s="81">
        <v>33787</v>
      </c>
      <c r="K71" s="80" t="s">
        <v>858</v>
      </c>
      <c r="L71" s="31"/>
    </row>
    <row r="72" spans="1:12" ht="49.5" customHeight="1">
      <c r="A72" s="10" t="s">
        <v>521</v>
      </c>
      <c r="B72" s="11" t="s">
        <v>522</v>
      </c>
      <c r="C72" s="11" t="s">
        <v>14</v>
      </c>
      <c r="D72" s="12" t="s">
        <v>523</v>
      </c>
      <c r="E72" s="46">
        <v>2011</v>
      </c>
      <c r="F72" s="50"/>
      <c r="G72" s="49">
        <v>6500</v>
      </c>
      <c r="H72" s="22">
        <f t="shared" si="1"/>
        <v>0</v>
      </c>
      <c r="I72" s="20">
        <v>6500</v>
      </c>
      <c r="J72" s="81"/>
      <c r="K72" s="80"/>
      <c r="L72" s="31"/>
    </row>
    <row r="73" spans="1:12" ht="49.5" customHeight="1">
      <c r="A73" s="10" t="s">
        <v>524</v>
      </c>
      <c r="B73" s="11" t="s">
        <v>525</v>
      </c>
      <c r="C73" s="11" t="s">
        <v>14</v>
      </c>
      <c r="D73" s="12" t="s">
        <v>526</v>
      </c>
      <c r="E73" s="46">
        <v>1991</v>
      </c>
      <c r="F73" s="50">
        <v>274</v>
      </c>
      <c r="G73" s="49">
        <v>238294.68</v>
      </c>
      <c r="H73" s="22">
        <f t="shared" si="1"/>
        <v>120778.35999999999</v>
      </c>
      <c r="I73" s="20">
        <v>117516.32</v>
      </c>
      <c r="J73" s="81">
        <v>33787</v>
      </c>
      <c r="K73" s="80" t="s">
        <v>858</v>
      </c>
      <c r="L73" s="31"/>
    </row>
    <row r="74" spans="1:12" ht="49.5" customHeight="1">
      <c r="A74" s="10" t="s">
        <v>527</v>
      </c>
      <c r="B74" s="11" t="s">
        <v>21</v>
      </c>
      <c r="C74" s="11" t="s">
        <v>14</v>
      </c>
      <c r="D74" s="12" t="s">
        <v>51</v>
      </c>
      <c r="E74" s="46">
        <v>1959</v>
      </c>
      <c r="F74" s="50"/>
      <c r="G74" s="49">
        <v>4297936.7699999996</v>
      </c>
      <c r="H74" s="22">
        <f t="shared" si="1"/>
        <v>4297936.7699999996</v>
      </c>
      <c r="I74" s="20">
        <v>0</v>
      </c>
      <c r="J74" s="81">
        <v>33787</v>
      </c>
      <c r="K74" s="80" t="s">
        <v>858</v>
      </c>
      <c r="L74" s="31"/>
    </row>
    <row r="75" spans="1:12" ht="49.5" customHeight="1">
      <c r="A75" s="10" t="s">
        <v>528</v>
      </c>
      <c r="B75" s="11" t="s">
        <v>28</v>
      </c>
      <c r="C75" s="11" t="s">
        <v>14</v>
      </c>
      <c r="D75" s="12" t="s">
        <v>51</v>
      </c>
      <c r="E75" s="46">
        <v>1961</v>
      </c>
      <c r="F75" s="50"/>
      <c r="G75" s="49">
        <v>279094.95</v>
      </c>
      <c r="H75" s="22">
        <f t="shared" si="1"/>
        <v>279094.95</v>
      </c>
      <c r="I75" s="20">
        <v>0</v>
      </c>
      <c r="J75" s="81">
        <v>33787</v>
      </c>
      <c r="K75" s="80" t="s">
        <v>858</v>
      </c>
      <c r="L75" s="31"/>
    </row>
    <row r="76" spans="1:12" ht="49.5" customHeight="1">
      <c r="A76" s="10" t="s">
        <v>529</v>
      </c>
      <c r="B76" s="11" t="s">
        <v>52</v>
      </c>
      <c r="C76" s="11" t="s">
        <v>14</v>
      </c>
      <c r="D76" s="12" t="s">
        <v>51</v>
      </c>
      <c r="E76" s="46">
        <v>1964</v>
      </c>
      <c r="F76" s="50"/>
      <c r="G76" s="49">
        <v>412007.58</v>
      </c>
      <c r="H76" s="22">
        <f t="shared" si="1"/>
        <v>412007.58</v>
      </c>
      <c r="I76" s="20">
        <v>0</v>
      </c>
      <c r="J76" s="81">
        <v>33787</v>
      </c>
      <c r="K76" s="80" t="s">
        <v>858</v>
      </c>
      <c r="L76" s="31"/>
    </row>
    <row r="77" spans="1:12" ht="49.5" customHeight="1">
      <c r="A77" s="10" t="s">
        <v>530</v>
      </c>
      <c r="B77" s="11" t="s">
        <v>53</v>
      </c>
      <c r="C77" s="11" t="s">
        <v>14</v>
      </c>
      <c r="D77" s="12" t="s">
        <v>51</v>
      </c>
      <c r="E77" s="46">
        <v>1959</v>
      </c>
      <c r="F77" s="50"/>
      <c r="G77" s="49">
        <v>23196.33</v>
      </c>
      <c r="H77" s="22">
        <f t="shared" si="1"/>
        <v>23196.33</v>
      </c>
      <c r="I77" s="20">
        <v>0</v>
      </c>
      <c r="J77" s="81">
        <v>33787</v>
      </c>
      <c r="K77" s="80" t="s">
        <v>858</v>
      </c>
      <c r="L77" s="31"/>
    </row>
    <row r="78" spans="1:12" ht="49.5" customHeight="1">
      <c r="A78" s="10" t="s">
        <v>531</v>
      </c>
      <c r="B78" s="11" t="s">
        <v>532</v>
      </c>
      <c r="C78" s="11" t="s">
        <v>14</v>
      </c>
      <c r="D78" s="12" t="s">
        <v>533</v>
      </c>
      <c r="E78" s="46"/>
      <c r="F78" s="50">
        <v>103.7</v>
      </c>
      <c r="G78" s="49">
        <v>53538.19</v>
      </c>
      <c r="H78" s="22">
        <f t="shared" si="1"/>
        <v>23794.300000000003</v>
      </c>
      <c r="I78" s="20">
        <v>29743.89</v>
      </c>
      <c r="J78" s="81">
        <v>33787</v>
      </c>
      <c r="K78" s="80" t="s">
        <v>858</v>
      </c>
      <c r="L78" s="31"/>
    </row>
    <row r="79" spans="1:12" ht="49.5" customHeight="1">
      <c r="A79" s="10" t="s">
        <v>534</v>
      </c>
      <c r="B79" s="11" t="s">
        <v>535</v>
      </c>
      <c r="C79" s="11" t="s">
        <v>14</v>
      </c>
      <c r="D79" s="12" t="s">
        <v>536</v>
      </c>
      <c r="E79" s="46"/>
      <c r="F79" s="50">
        <v>131.1</v>
      </c>
      <c r="G79" s="49">
        <v>67684.259999999995</v>
      </c>
      <c r="H79" s="22">
        <f t="shared" si="1"/>
        <v>30081.329999999994</v>
      </c>
      <c r="I79" s="20">
        <v>37602.93</v>
      </c>
      <c r="J79" s="81">
        <v>33787</v>
      </c>
      <c r="K79" s="80" t="s">
        <v>858</v>
      </c>
      <c r="L79" s="31"/>
    </row>
    <row r="80" spans="1:12" ht="49.5" customHeight="1">
      <c r="A80" s="10" t="s">
        <v>537</v>
      </c>
      <c r="B80" s="11" t="s">
        <v>37</v>
      </c>
      <c r="C80" s="11" t="s">
        <v>93</v>
      </c>
      <c r="D80" s="12" t="s">
        <v>48</v>
      </c>
      <c r="E80" s="45">
        <v>1991</v>
      </c>
      <c r="F80" s="50">
        <v>48</v>
      </c>
      <c r="G80" s="49">
        <v>917970.93</v>
      </c>
      <c r="H80" s="22">
        <f t="shared" si="1"/>
        <v>537775.93000000005</v>
      </c>
      <c r="I80" s="20">
        <v>380195</v>
      </c>
      <c r="J80" s="81">
        <v>33787</v>
      </c>
      <c r="K80" s="80" t="s">
        <v>858</v>
      </c>
      <c r="L80" s="31"/>
    </row>
    <row r="81" spans="1:12" ht="84.75" customHeight="1">
      <c r="A81" s="10" t="s">
        <v>545</v>
      </c>
      <c r="B81" s="11" t="s">
        <v>37</v>
      </c>
      <c r="C81" s="11" t="s">
        <v>93</v>
      </c>
      <c r="D81" s="12" t="s">
        <v>546</v>
      </c>
      <c r="E81" s="45"/>
      <c r="F81" s="50">
        <v>23.1</v>
      </c>
      <c r="G81" s="49">
        <v>12944</v>
      </c>
      <c r="H81" s="22">
        <f t="shared" si="1"/>
        <v>12944</v>
      </c>
      <c r="I81" s="20">
        <v>0</v>
      </c>
      <c r="J81" s="81">
        <v>41193</v>
      </c>
      <c r="K81" s="80" t="s">
        <v>872</v>
      </c>
      <c r="L81" s="31"/>
    </row>
    <row r="82" spans="1:12" ht="49.5" customHeight="1">
      <c r="A82" s="10" t="s">
        <v>900</v>
      </c>
      <c r="B82" s="11" t="s">
        <v>905</v>
      </c>
      <c r="C82" s="11" t="s">
        <v>14</v>
      </c>
      <c r="D82" s="12" t="s">
        <v>839</v>
      </c>
      <c r="E82" s="19">
        <v>1981</v>
      </c>
      <c r="F82" s="50">
        <v>32.1</v>
      </c>
      <c r="G82" s="20">
        <v>171522.67</v>
      </c>
      <c r="H82" s="22">
        <f t="shared" si="1"/>
        <v>81146.62000000001</v>
      </c>
      <c r="I82" s="20">
        <v>90376.05</v>
      </c>
      <c r="J82" s="81">
        <v>33787</v>
      </c>
      <c r="K82" s="80" t="s">
        <v>858</v>
      </c>
      <c r="L82" s="31"/>
    </row>
    <row r="83" spans="1:12" ht="49.5" customHeight="1">
      <c r="A83" s="10" t="s">
        <v>901</v>
      </c>
      <c r="B83" s="11" t="s">
        <v>906</v>
      </c>
      <c r="C83" s="11" t="s">
        <v>14</v>
      </c>
      <c r="D83" s="12" t="s">
        <v>839</v>
      </c>
      <c r="E83" s="19">
        <v>1981</v>
      </c>
      <c r="F83" s="50">
        <v>32.299999999999997</v>
      </c>
      <c r="G83" s="20">
        <v>172591.34</v>
      </c>
      <c r="H83" s="22">
        <f t="shared" si="1"/>
        <v>81652.19</v>
      </c>
      <c r="I83" s="20">
        <v>90939.15</v>
      </c>
      <c r="J83" s="81">
        <v>33787</v>
      </c>
      <c r="K83" s="80" t="s">
        <v>858</v>
      </c>
      <c r="L83" s="31"/>
    </row>
    <row r="84" spans="1:12" ht="49.5" customHeight="1">
      <c r="A84" s="10" t="s">
        <v>902</v>
      </c>
      <c r="B84" s="11" t="s">
        <v>907</v>
      </c>
      <c r="C84" s="11" t="s">
        <v>14</v>
      </c>
      <c r="D84" s="12" t="s">
        <v>839</v>
      </c>
      <c r="E84" s="19">
        <v>1981</v>
      </c>
      <c r="F84" s="50">
        <v>31.9</v>
      </c>
      <c r="G84" s="20">
        <v>170453.99</v>
      </c>
      <c r="H84" s="22">
        <f t="shared" ref="H84:H87" si="2">G84-I84</f>
        <v>80641.029999999984</v>
      </c>
      <c r="I84" s="20">
        <v>89812.96</v>
      </c>
      <c r="J84" s="81">
        <v>33787</v>
      </c>
      <c r="K84" s="80" t="s">
        <v>858</v>
      </c>
      <c r="L84" s="31"/>
    </row>
    <row r="85" spans="1:12" ht="49.5" customHeight="1">
      <c r="A85" s="10" t="s">
        <v>903</v>
      </c>
      <c r="B85" s="11" t="s">
        <v>908</v>
      </c>
      <c r="C85" s="11" t="s">
        <v>14</v>
      </c>
      <c r="D85" s="12" t="s">
        <v>839</v>
      </c>
      <c r="E85" s="19">
        <v>1981</v>
      </c>
      <c r="F85" s="50">
        <v>32.299999999999997</v>
      </c>
      <c r="G85" s="20">
        <v>172591.34</v>
      </c>
      <c r="H85" s="22">
        <f t="shared" si="2"/>
        <v>81652.19</v>
      </c>
      <c r="I85" s="20">
        <v>90939.15</v>
      </c>
      <c r="J85" s="81">
        <v>33787</v>
      </c>
      <c r="K85" s="80" t="s">
        <v>858</v>
      </c>
      <c r="L85" s="31"/>
    </row>
    <row r="86" spans="1:12" ht="49.5" customHeight="1">
      <c r="A86" s="10" t="s">
        <v>904</v>
      </c>
      <c r="B86" s="11" t="s">
        <v>909</v>
      </c>
      <c r="C86" s="11" t="s">
        <v>14</v>
      </c>
      <c r="D86" s="12" t="s">
        <v>839</v>
      </c>
      <c r="E86" s="19">
        <v>1981</v>
      </c>
      <c r="F86" s="50">
        <v>15.1</v>
      </c>
      <c r="G86" s="20">
        <v>80685.119999999995</v>
      </c>
      <c r="H86" s="22">
        <f t="shared" si="2"/>
        <v>38171.769999999997</v>
      </c>
      <c r="I86" s="20">
        <v>42513.35</v>
      </c>
      <c r="J86" s="81">
        <v>33787</v>
      </c>
      <c r="K86" s="80" t="s">
        <v>858</v>
      </c>
      <c r="L86" s="31"/>
    </row>
    <row r="87" spans="1:12" ht="49.5" customHeight="1">
      <c r="A87" s="10" t="s">
        <v>910</v>
      </c>
      <c r="B87" s="11" t="s">
        <v>905</v>
      </c>
      <c r="C87" s="11" t="s">
        <v>14</v>
      </c>
      <c r="D87" s="11" t="s">
        <v>454</v>
      </c>
      <c r="E87" s="8">
        <v>1974</v>
      </c>
      <c r="F87" s="31">
        <v>45.8</v>
      </c>
      <c r="G87" s="13">
        <v>19965</v>
      </c>
      <c r="H87" s="22">
        <f t="shared" si="2"/>
        <v>19965</v>
      </c>
      <c r="I87" s="20">
        <v>0</v>
      </c>
      <c r="J87" s="81">
        <v>33787</v>
      </c>
      <c r="K87" s="80" t="s">
        <v>858</v>
      </c>
      <c r="L87" s="31"/>
    </row>
    <row r="88" spans="1:12" ht="49.5" customHeight="1">
      <c r="A88" s="10" t="s">
        <v>929</v>
      </c>
      <c r="B88" s="11" t="s">
        <v>933</v>
      </c>
      <c r="C88" s="11" t="s">
        <v>14</v>
      </c>
      <c r="D88" s="11" t="s">
        <v>348</v>
      </c>
      <c r="E88" s="19">
        <v>1949</v>
      </c>
      <c r="F88" s="50">
        <v>153.69999999999999</v>
      </c>
      <c r="G88" s="20">
        <v>669581.6</v>
      </c>
      <c r="H88" s="20">
        <f>G88</f>
        <v>669581.6</v>
      </c>
      <c r="I88" s="20">
        <v>89812.96</v>
      </c>
      <c r="J88" s="81">
        <v>33787</v>
      </c>
      <c r="K88" s="80" t="s">
        <v>858</v>
      </c>
      <c r="L88" s="31"/>
    </row>
    <row r="89" spans="1:12" ht="49.5" customHeight="1">
      <c r="A89" s="10" t="s">
        <v>930</v>
      </c>
      <c r="B89" s="11" t="s">
        <v>101</v>
      </c>
      <c r="C89" s="11" t="s">
        <v>14</v>
      </c>
      <c r="D89" s="11" t="s">
        <v>348</v>
      </c>
      <c r="E89" s="19">
        <v>1986</v>
      </c>
      <c r="F89" s="50">
        <v>74.400000000000006</v>
      </c>
      <c r="G89" s="20">
        <v>61207.6</v>
      </c>
      <c r="H89" s="20">
        <f t="shared" ref="H89:H90" si="3">G89</f>
        <v>61207.6</v>
      </c>
      <c r="I89" s="20">
        <v>90939.15</v>
      </c>
      <c r="J89" s="81">
        <v>33787</v>
      </c>
      <c r="K89" s="80" t="s">
        <v>858</v>
      </c>
      <c r="L89" s="31"/>
    </row>
    <row r="90" spans="1:12" ht="49.5" customHeight="1">
      <c r="A90" s="10" t="s">
        <v>931</v>
      </c>
      <c r="B90" s="11" t="s">
        <v>934</v>
      </c>
      <c r="C90" s="11" t="s">
        <v>14</v>
      </c>
      <c r="D90" s="11" t="s">
        <v>348</v>
      </c>
      <c r="E90" s="19">
        <v>1986</v>
      </c>
      <c r="F90" s="50">
        <v>24.7</v>
      </c>
      <c r="G90" s="20">
        <v>17002.900000000001</v>
      </c>
      <c r="H90" s="20">
        <f t="shared" si="3"/>
        <v>17002.900000000001</v>
      </c>
      <c r="I90" s="20">
        <v>42513.35</v>
      </c>
      <c r="J90" s="81">
        <v>33787</v>
      </c>
      <c r="K90" s="80" t="s">
        <v>858</v>
      </c>
      <c r="L90" s="31"/>
    </row>
    <row r="91" spans="1:12" ht="49.5" customHeight="1">
      <c r="A91" s="10" t="s">
        <v>932</v>
      </c>
      <c r="B91" s="11" t="s">
        <v>935</v>
      </c>
      <c r="C91" s="11" t="s">
        <v>18</v>
      </c>
      <c r="D91" s="11" t="s">
        <v>936</v>
      </c>
      <c r="E91" s="19">
        <v>1987</v>
      </c>
      <c r="F91" s="50">
        <v>530.5</v>
      </c>
      <c r="G91" s="20">
        <v>8787639.2200000007</v>
      </c>
      <c r="H91" s="20">
        <f>G91-I91</f>
        <v>5431942.6900000013</v>
      </c>
      <c r="I91" s="20">
        <v>3355696.53</v>
      </c>
      <c r="J91" s="81">
        <v>33787</v>
      </c>
      <c r="K91" s="80" t="s">
        <v>858</v>
      </c>
      <c r="L91" s="31"/>
    </row>
    <row r="92" spans="1:12" ht="35.25" customHeight="1">
      <c r="A92" s="10"/>
      <c r="B92" s="36" t="s">
        <v>476</v>
      </c>
      <c r="C92" s="36">
        <f>89-6</f>
        <v>83</v>
      </c>
      <c r="D92" s="36" t="s">
        <v>474</v>
      </c>
      <c r="E92" s="51"/>
      <c r="F92" s="112">
        <f>SUM(F7:F91)-SUM(F30:F35)</f>
        <v>10309.5</v>
      </c>
      <c r="G92" s="52">
        <f>SUM(G7:G91)</f>
        <v>72696166.109999999</v>
      </c>
      <c r="H92" s="52">
        <f>SUM(H7:H91)</f>
        <v>52900200.50999999</v>
      </c>
      <c r="I92" s="52">
        <f>SUM(I7:I91)</f>
        <v>20019231.060000002</v>
      </c>
      <c r="J92" s="81"/>
      <c r="K92" s="80"/>
      <c r="L92" s="31"/>
    </row>
    <row r="94" spans="1:12">
      <c r="G94" s="93"/>
      <c r="H94" s="93"/>
      <c r="I94" s="93"/>
    </row>
  </sheetData>
  <sortState ref="A7:H83">
    <sortCondition ref="A7:A83"/>
  </sortState>
  <mergeCells count="4">
    <mergeCell ref="A2:D2"/>
    <mergeCell ref="A3:D3"/>
    <mergeCell ref="B4:D4"/>
    <mergeCell ref="G1:K1"/>
  </mergeCells>
  <pageMargins left="0.59055118110236227" right="0.27559055118110237" top="0.56999999999999995" bottom="0.32" header="0.23" footer="0.19685039370078741"/>
  <pageSetup paperSize="9" scale="66" fitToHeight="7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A10" workbookViewId="0">
      <selection activeCell="B28" sqref="B28"/>
    </sheetView>
  </sheetViews>
  <sheetFormatPr defaultRowHeight="12.75"/>
  <cols>
    <col min="1" max="1" width="5.7109375" customWidth="1"/>
    <col min="2" max="2" width="55.85546875" customWidth="1"/>
    <col min="3" max="3" width="20.140625" customWidth="1"/>
    <col min="4" max="4" width="10.85546875" customWidth="1"/>
    <col min="5" max="5" width="47.140625" customWidth="1"/>
    <col min="6" max="6" width="17.85546875" customWidth="1"/>
    <col min="7" max="7" width="47.28515625" customWidth="1"/>
  </cols>
  <sheetData>
    <row r="1" spans="1:7" ht="37.5" customHeight="1" thickBot="1">
      <c r="A1" s="108" t="s">
        <v>548</v>
      </c>
      <c r="B1" s="109"/>
      <c r="C1" s="109"/>
      <c r="D1" s="109"/>
      <c r="E1" s="109"/>
      <c r="F1" s="109"/>
      <c r="G1" s="110"/>
    </row>
    <row r="2" spans="1:7" ht="31.5">
      <c r="A2" s="53" t="s">
        <v>549</v>
      </c>
      <c r="B2" s="54" t="s">
        <v>550</v>
      </c>
      <c r="C2" s="54" t="s">
        <v>551</v>
      </c>
      <c r="D2" s="55" t="s">
        <v>552</v>
      </c>
      <c r="E2" s="54" t="s">
        <v>553</v>
      </c>
      <c r="F2" s="54" t="s">
        <v>554</v>
      </c>
      <c r="G2" s="54" t="s">
        <v>555</v>
      </c>
    </row>
    <row r="3" spans="1:7" ht="43.5" customHeight="1">
      <c r="A3" s="56">
        <v>1</v>
      </c>
      <c r="B3" s="56" t="s">
        <v>556</v>
      </c>
      <c r="C3" s="56" t="s">
        <v>557</v>
      </c>
      <c r="D3" s="56">
        <v>1500</v>
      </c>
      <c r="E3" s="56" t="s">
        <v>558</v>
      </c>
      <c r="F3" s="57">
        <v>40087</v>
      </c>
      <c r="G3" s="56" t="s">
        <v>559</v>
      </c>
    </row>
    <row r="4" spans="1:7" ht="43.5" customHeight="1">
      <c r="A4" s="56">
        <f>A3+1</f>
        <v>2</v>
      </c>
      <c r="B4" s="56" t="s">
        <v>560</v>
      </c>
      <c r="C4" s="56" t="s">
        <v>561</v>
      </c>
      <c r="D4" s="56">
        <v>2200</v>
      </c>
      <c r="E4" s="56" t="s">
        <v>562</v>
      </c>
      <c r="F4" s="57">
        <v>40087</v>
      </c>
      <c r="G4" s="56" t="s">
        <v>563</v>
      </c>
    </row>
    <row r="5" spans="1:7" ht="43.5" customHeight="1">
      <c r="A5" s="56">
        <f t="shared" ref="A5:A16" si="0">A4+1</f>
        <v>3</v>
      </c>
      <c r="B5" s="56" t="s">
        <v>564</v>
      </c>
      <c r="C5" s="56" t="s">
        <v>565</v>
      </c>
      <c r="D5" s="56">
        <v>1000</v>
      </c>
      <c r="E5" s="56" t="s">
        <v>562</v>
      </c>
      <c r="F5" s="57">
        <v>40087</v>
      </c>
      <c r="G5" s="56" t="s">
        <v>566</v>
      </c>
    </row>
    <row r="6" spans="1:7" ht="43.5" customHeight="1">
      <c r="A6" s="56">
        <f t="shared" si="0"/>
        <v>4</v>
      </c>
      <c r="B6" s="56" t="s">
        <v>567</v>
      </c>
      <c r="C6" s="56" t="s">
        <v>568</v>
      </c>
      <c r="D6" s="56">
        <v>224000</v>
      </c>
      <c r="E6" s="56" t="s">
        <v>569</v>
      </c>
      <c r="F6" s="57">
        <v>40087</v>
      </c>
      <c r="G6" s="56" t="s">
        <v>570</v>
      </c>
    </row>
    <row r="7" spans="1:7" ht="43.5" customHeight="1">
      <c r="A7" s="56">
        <f t="shared" si="0"/>
        <v>5</v>
      </c>
      <c r="B7" s="56" t="s">
        <v>571</v>
      </c>
      <c r="C7" s="56" t="s">
        <v>572</v>
      </c>
      <c r="D7" s="56">
        <v>5000</v>
      </c>
      <c r="E7" s="56" t="s">
        <v>562</v>
      </c>
      <c r="F7" s="57">
        <v>40087</v>
      </c>
      <c r="G7" s="56" t="s">
        <v>573</v>
      </c>
    </row>
    <row r="8" spans="1:7" ht="43.5" customHeight="1">
      <c r="A8" s="56">
        <f t="shared" si="0"/>
        <v>6</v>
      </c>
      <c r="B8" s="56" t="s">
        <v>574</v>
      </c>
      <c r="C8" s="56" t="s">
        <v>575</v>
      </c>
      <c r="D8" s="56">
        <v>15000</v>
      </c>
      <c r="E8" s="56" t="s">
        <v>562</v>
      </c>
      <c r="F8" s="57">
        <v>40087</v>
      </c>
      <c r="G8" s="56" t="s">
        <v>576</v>
      </c>
    </row>
    <row r="9" spans="1:7" ht="43.5" customHeight="1">
      <c r="A9" s="56">
        <f t="shared" si="0"/>
        <v>7</v>
      </c>
      <c r="B9" s="56" t="s">
        <v>577</v>
      </c>
      <c r="C9" s="56" t="s">
        <v>578</v>
      </c>
      <c r="D9" s="56">
        <v>500</v>
      </c>
      <c r="E9" s="56" t="s">
        <v>579</v>
      </c>
      <c r="F9" s="57">
        <v>40087</v>
      </c>
      <c r="G9" s="56" t="s">
        <v>580</v>
      </c>
    </row>
    <row r="10" spans="1:7" ht="43.5" customHeight="1">
      <c r="A10" s="56">
        <f t="shared" si="0"/>
        <v>8</v>
      </c>
      <c r="B10" s="56" t="s">
        <v>581</v>
      </c>
      <c r="C10" s="56" t="s">
        <v>582</v>
      </c>
      <c r="D10" s="56">
        <v>500</v>
      </c>
      <c r="E10" s="56" t="s">
        <v>583</v>
      </c>
      <c r="F10" s="57">
        <v>40087</v>
      </c>
      <c r="G10" s="56" t="s">
        <v>584</v>
      </c>
    </row>
    <row r="11" spans="1:7" ht="43.5" customHeight="1">
      <c r="A11" s="56">
        <f t="shared" si="0"/>
        <v>9</v>
      </c>
      <c r="B11" s="56" t="s">
        <v>585</v>
      </c>
      <c r="C11" s="56" t="s">
        <v>586</v>
      </c>
      <c r="D11" s="56">
        <v>18300</v>
      </c>
      <c r="E11" s="56" t="s">
        <v>562</v>
      </c>
      <c r="F11" s="57">
        <v>40087</v>
      </c>
      <c r="G11" s="56" t="s">
        <v>587</v>
      </c>
    </row>
    <row r="12" spans="1:7" ht="43.5" customHeight="1">
      <c r="A12" s="56">
        <f t="shared" si="0"/>
        <v>10</v>
      </c>
      <c r="B12" s="56" t="s">
        <v>588</v>
      </c>
      <c r="C12" s="56" t="s">
        <v>589</v>
      </c>
      <c r="D12" s="56">
        <v>1098</v>
      </c>
      <c r="E12" s="56" t="s">
        <v>590</v>
      </c>
      <c r="F12" s="57">
        <v>40087</v>
      </c>
      <c r="G12" s="56" t="s">
        <v>591</v>
      </c>
    </row>
    <row r="13" spans="1:7" ht="43.5" customHeight="1">
      <c r="A13" s="56">
        <f t="shared" si="0"/>
        <v>11</v>
      </c>
      <c r="B13" s="56" t="s">
        <v>588</v>
      </c>
      <c r="C13" s="56" t="s">
        <v>592</v>
      </c>
      <c r="D13" s="56">
        <v>1029</v>
      </c>
      <c r="E13" s="56" t="s">
        <v>593</v>
      </c>
      <c r="F13" s="57">
        <v>40087</v>
      </c>
      <c r="G13" s="56" t="s">
        <v>591</v>
      </c>
    </row>
    <row r="14" spans="1:7" ht="43.5" customHeight="1">
      <c r="A14" s="56">
        <f t="shared" si="0"/>
        <v>12</v>
      </c>
      <c r="B14" s="56" t="s">
        <v>594</v>
      </c>
      <c r="C14" s="56" t="s">
        <v>595</v>
      </c>
      <c r="D14" s="56">
        <v>25000</v>
      </c>
      <c r="E14" s="56" t="s">
        <v>562</v>
      </c>
      <c r="F14" s="57">
        <v>40779</v>
      </c>
      <c r="G14" s="56" t="s">
        <v>596</v>
      </c>
    </row>
    <row r="15" spans="1:7" ht="43.5" customHeight="1">
      <c r="A15" s="56">
        <f t="shared" si="0"/>
        <v>13</v>
      </c>
      <c r="B15" s="56" t="s">
        <v>911</v>
      </c>
      <c r="C15" s="56" t="s">
        <v>912</v>
      </c>
      <c r="D15" s="56">
        <v>13440</v>
      </c>
      <c r="E15" s="56" t="s">
        <v>916</v>
      </c>
      <c r="F15" s="57">
        <v>40697</v>
      </c>
      <c r="G15" s="56" t="s">
        <v>591</v>
      </c>
    </row>
    <row r="16" spans="1:7" ht="43.5" customHeight="1">
      <c r="A16" s="56">
        <f t="shared" si="0"/>
        <v>14</v>
      </c>
      <c r="B16" s="56" t="s">
        <v>913</v>
      </c>
      <c r="C16" s="56" t="s">
        <v>914</v>
      </c>
      <c r="D16" s="56">
        <v>4520</v>
      </c>
      <c r="E16" s="56" t="s">
        <v>915</v>
      </c>
      <c r="F16" s="57">
        <v>41354</v>
      </c>
      <c r="G16" s="56" t="s">
        <v>591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D28"/>
  <sheetViews>
    <sheetView workbookViewId="0">
      <selection activeCell="C24" sqref="C24"/>
    </sheetView>
  </sheetViews>
  <sheetFormatPr defaultRowHeight="12.75"/>
  <cols>
    <col min="1" max="1" width="5.140625" customWidth="1"/>
    <col min="2" max="2" width="28.5703125" customWidth="1"/>
    <col min="3" max="3" width="35.42578125" customWidth="1"/>
  </cols>
  <sheetData>
    <row r="2" spans="1:4">
      <c r="A2" s="111" t="s">
        <v>687</v>
      </c>
      <c r="B2" s="111"/>
      <c r="C2" s="111"/>
      <c r="D2" s="111"/>
    </row>
    <row r="3" spans="1:4">
      <c r="A3" s="111" t="s">
        <v>688</v>
      </c>
      <c r="B3" s="111"/>
      <c r="C3" s="111"/>
      <c r="D3" s="111"/>
    </row>
    <row r="4" spans="1:4">
      <c r="A4" s="111" t="s">
        <v>689</v>
      </c>
      <c r="B4" s="111"/>
      <c r="C4" s="111"/>
      <c r="D4" s="111"/>
    </row>
    <row r="6" spans="1:4">
      <c r="A6" s="66" t="s">
        <v>690</v>
      </c>
      <c r="B6" s="66" t="s">
        <v>691</v>
      </c>
      <c r="C6" s="67" t="s">
        <v>692</v>
      </c>
    </row>
    <row r="7" spans="1:4" ht="38.25">
      <c r="A7" s="68" t="s">
        <v>693</v>
      </c>
      <c r="B7" s="68" t="s">
        <v>694</v>
      </c>
      <c r="C7" s="69" t="s">
        <v>695</v>
      </c>
    </row>
    <row r="8" spans="1:4" ht="25.5">
      <c r="A8" s="68" t="s">
        <v>696</v>
      </c>
      <c r="B8" s="68" t="s">
        <v>697</v>
      </c>
      <c r="C8" s="69" t="s">
        <v>698</v>
      </c>
    </row>
    <row r="9" spans="1:4" ht="25.5">
      <c r="A9" s="68" t="s">
        <v>699</v>
      </c>
      <c r="B9" s="68" t="s">
        <v>700</v>
      </c>
      <c r="C9" s="69" t="s">
        <v>701</v>
      </c>
    </row>
    <row r="10" spans="1:4" ht="38.25">
      <c r="A10" s="68" t="s">
        <v>702</v>
      </c>
      <c r="B10" s="68" t="s">
        <v>703</v>
      </c>
      <c r="C10" s="70"/>
    </row>
    <row r="11" spans="1:4">
      <c r="A11" s="68" t="s">
        <v>704</v>
      </c>
      <c r="B11" s="68" t="s">
        <v>705</v>
      </c>
      <c r="C11" s="70">
        <v>3296751</v>
      </c>
    </row>
    <row r="12" spans="1:4">
      <c r="A12" s="68" t="s">
        <v>706</v>
      </c>
      <c r="B12" s="68" t="s">
        <v>707</v>
      </c>
      <c r="C12" s="70">
        <v>47</v>
      </c>
    </row>
    <row r="13" spans="1:4">
      <c r="A13" s="68" t="s">
        <v>708</v>
      </c>
      <c r="B13" s="68" t="s">
        <v>709</v>
      </c>
      <c r="C13" s="70">
        <v>58401000000</v>
      </c>
    </row>
    <row r="14" spans="1:4">
      <c r="A14" s="68" t="s">
        <v>710</v>
      </c>
      <c r="B14" s="68" t="s">
        <v>711</v>
      </c>
      <c r="C14" s="70"/>
    </row>
    <row r="15" spans="1:4">
      <c r="A15" s="68" t="s">
        <v>712</v>
      </c>
      <c r="B15" s="68" t="s">
        <v>713</v>
      </c>
      <c r="C15" s="70">
        <v>13171</v>
      </c>
    </row>
    <row r="16" spans="1:4">
      <c r="A16" s="68" t="s">
        <v>714</v>
      </c>
      <c r="B16" s="68" t="s">
        <v>715</v>
      </c>
      <c r="C16" s="70">
        <v>47</v>
      </c>
    </row>
    <row r="17" spans="1:3">
      <c r="A17" s="68" t="s">
        <v>716</v>
      </c>
      <c r="B17" s="68" t="s">
        <v>717</v>
      </c>
      <c r="C17" s="70">
        <v>6027015076</v>
      </c>
    </row>
    <row r="18" spans="1:3">
      <c r="A18" s="68" t="s">
        <v>718</v>
      </c>
      <c r="B18" s="68" t="s">
        <v>719</v>
      </c>
      <c r="C18" s="70">
        <v>27243</v>
      </c>
    </row>
    <row r="19" spans="1:3" ht="25.5">
      <c r="A19" s="68" t="s">
        <v>720</v>
      </c>
      <c r="B19" s="68" t="s">
        <v>721</v>
      </c>
      <c r="C19" s="70">
        <v>16</v>
      </c>
    </row>
    <row r="20" spans="1:3" ht="38.25">
      <c r="A20" s="68" t="s">
        <v>722</v>
      </c>
      <c r="B20" s="68" t="s">
        <v>723</v>
      </c>
      <c r="C20" s="70">
        <v>0.06</v>
      </c>
    </row>
    <row r="21" spans="1:3" ht="38.25">
      <c r="A21" s="68" t="s">
        <v>724</v>
      </c>
      <c r="B21" s="68" t="s">
        <v>725</v>
      </c>
      <c r="C21" s="70">
        <v>16</v>
      </c>
    </row>
    <row r="22" spans="1:3">
      <c r="A22" s="68"/>
      <c r="B22" s="68"/>
      <c r="C22" s="68"/>
    </row>
    <row r="23" spans="1:3">
      <c r="A23" s="68"/>
      <c r="B23" s="68"/>
      <c r="C23" s="68"/>
    </row>
    <row r="24" spans="1:3">
      <c r="A24" s="68"/>
      <c r="B24" s="68"/>
      <c r="C24" s="68"/>
    </row>
    <row r="25" spans="1:3">
      <c r="A25" s="68"/>
      <c r="B25" s="68"/>
      <c r="C25" s="68"/>
    </row>
    <row r="26" spans="1:3">
      <c r="A26" s="68"/>
      <c r="B26" s="68"/>
      <c r="C26" s="68"/>
    </row>
    <row r="27" spans="1:3">
      <c r="A27" s="68"/>
      <c r="B27" s="68"/>
      <c r="C27" s="68"/>
    </row>
    <row r="28" spans="1:3">
      <c r="A28" s="71"/>
      <c r="B28" s="71"/>
      <c r="C28" s="71"/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учреждения</vt:lpstr>
      <vt:lpstr>предприятия</vt:lpstr>
      <vt:lpstr>казна района</vt:lpstr>
      <vt:lpstr>земельные участки</vt:lpstr>
      <vt:lpstr>акции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2013-07-23T11:33:38Z</cp:lastPrinted>
  <dcterms:created xsi:type="dcterms:W3CDTF">2012-12-22T07:41:16Z</dcterms:created>
  <dcterms:modified xsi:type="dcterms:W3CDTF">2015-03-31T11:26:34Z</dcterms:modified>
</cp:coreProperties>
</file>